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Kelly/Google Drive/2020 Mom Budget/"/>
    </mc:Choice>
  </mc:AlternateContent>
  <bookViews>
    <workbookView xWindow="0" yWindow="460" windowWidth="25580" windowHeight="15100"/>
  </bookViews>
  <sheets>
    <sheet name="Stmt Fin Act by Class" sheetId="3" r:id="rId1"/>
    <sheet name="Budget vs. Actuals Total" sheetId="5" r:id="rId2"/>
    <sheet name="Budget vs. Actuals Class" sheetId="6" r:id="rId3"/>
    <sheet name="Stmt of Fin Position" sheetId="8" r:id="rId4"/>
  </sheets>
  <definedNames>
    <definedName name="_xlnm.Print_Titles" localSheetId="2">'Budget vs. Actuals Class'!$1:$6</definedName>
    <definedName name="_xlnm.Print_Titles" localSheetId="1">'Budget vs. Actuals Total'!$1:$6</definedName>
    <definedName name="_xlnm.Print_Titles" localSheetId="0">'Stmt Fin Act by Class'!$1:$5</definedName>
    <definedName name="_xlnm.Print_Titles" localSheetId="3">'Stmt of Fin Position'!$1:$5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B16" i="6" l="1"/>
  <c r="CG55" i="6"/>
  <c r="CE55" i="6"/>
  <c r="CD55" i="6"/>
  <c r="CB55" i="6"/>
  <c r="BR55" i="6"/>
  <c r="BP56" i="6"/>
  <c r="D55" i="5"/>
  <c r="B56" i="5"/>
  <c r="AB52" i="3"/>
  <c r="W53" i="3"/>
  <c r="Y65" i="6"/>
  <c r="B10" i="8"/>
  <c r="B11" i="8"/>
  <c r="B12" i="8"/>
  <c r="B13" i="8"/>
  <c r="B18" i="8"/>
  <c r="B20" i="8"/>
  <c r="B16" i="8"/>
  <c r="B17" i="8"/>
  <c r="B26" i="8"/>
  <c r="B27" i="8"/>
  <c r="B32" i="8"/>
  <c r="B34" i="8"/>
  <c r="B30" i="8"/>
  <c r="B31" i="8"/>
  <c r="B37" i="8"/>
  <c r="B40" i="8"/>
  <c r="B38" i="8"/>
  <c r="B39" i="8"/>
  <c r="E9" i="6"/>
  <c r="G9" i="6"/>
  <c r="H9" i="6"/>
  <c r="J9" i="6"/>
  <c r="BD9" i="6"/>
  <c r="BF9" i="6"/>
  <c r="BJ9" i="6"/>
  <c r="BP9" i="6"/>
  <c r="BQ9" i="6"/>
  <c r="BQ11" i="6"/>
  <c r="BV9" i="6"/>
  <c r="BW9" i="6"/>
  <c r="BY9" i="6"/>
  <c r="BY11" i="6"/>
  <c r="BZ9" i="6"/>
  <c r="AU10" i="6"/>
  <c r="AV10" i="6"/>
  <c r="BJ10" i="6"/>
  <c r="BL10" i="6"/>
  <c r="BP10" i="6"/>
  <c r="BR10" i="6"/>
  <c r="BQ10" i="6"/>
  <c r="CC10" i="6"/>
  <c r="BV10" i="6"/>
  <c r="BX10" i="6"/>
  <c r="B11" i="6"/>
  <c r="D11" i="6"/>
  <c r="C11" i="6"/>
  <c r="E11" i="6"/>
  <c r="F11" i="6"/>
  <c r="G11" i="6"/>
  <c r="H11" i="6"/>
  <c r="I11" i="6"/>
  <c r="K11" i="6"/>
  <c r="L11" i="6"/>
  <c r="N11" i="6"/>
  <c r="P11" i="6"/>
  <c r="O11" i="6"/>
  <c r="T11" i="6"/>
  <c r="U11" i="6"/>
  <c r="W11" i="6"/>
  <c r="X11" i="6"/>
  <c r="Z11" i="6"/>
  <c r="AA11" i="6"/>
  <c r="AF11" i="6"/>
  <c r="AG11" i="6"/>
  <c r="AI11" i="6"/>
  <c r="AJ11" i="6"/>
  <c r="AO11" i="6"/>
  <c r="AP11" i="6"/>
  <c r="AR11" i="6"/>
  <c r="AS11" i="6"/>
  <c r="AU11" i="6"/>
  <c r="AX11" i="6"/>
  <c r="AY11" i="6"/>
  <c r="AZ11" i="6"/>
  <c r="BA11" i="6"/>
  <c r="BB11" i="6"/>
  <c r="BD11" i="6"/>
  <c r="BE11" i="6"/>
  <c r="BK11" i="6"/>
  <c r="BM11" i="6"/>
  <c r="BN11" i="6"/>
  <c r="BO11" i="6"/>
  <c r="BS11" i="6"/>
  <c r="BT11" i="6"/>
  <c r="BW11" i="6"/>
  <c r="BP14" i="6"/>
  <c r="BP15" i="6"/>
  <c r="BR15" i="6"/>
  <c r="CB15" i="6"/>
  <c r="B16" i="6"/>
  <c r="C16" i="6"/>
  <c r="E16" i="6"/>
  <c r="F16" i="6"/>
  <c r="H16" i="6"/>
  <c r="I16" i="6"/>
  <c r="K16" i="6"/>
  <c r="M16" i="6"/>
  <c r="L16" i="6"/>
  <c r="N16" i="6"/>
  <c r="O16" i="6"/>
  <c r="T16" i="6"/>
  <c r="V16" i="6"/>
  <c r="U16" i="6"/>
  <c r="W16" i="6"/>
  <c r="X16" i="6"/>
  <c r="Z16" i="6"/>
  <c r="AA16" i="6"/>
  <c r="AF16" i="6"/>
  <c r="AG16" i="6"/>
  <c r="AI16" i="6"/>
  <c r="AJ16" i="6"/>
  <c r="AO16" i="6"/>
  <c r="AP16" i="6"/>
  <c r="AR16" i="6"/>
  <c r="AT16" i="6"/>
  <c r="AS16" i="6"/>
  <c r="AU16" i="6"/>
  <c r="AV16" i="6"/>
  <c r="AX16" i="6"/>
  <c r="AY16" i="6"/>
  <c r="BA16" i="6"/>
  <c r="BB16" i="6"/>
  <c r="BD16" i="6"/>
  <c r="BF16" i="6"/>
  <c r="BE16" i="6"/>
  <c r="BJ16" i="6"/>
  <c r="BK16" i="6"/>
  <c r="BM16" i="6"/>
  <c r="BN16" i="6"/>
  <c r="BQ16" i="6"/>
  <c r="BS16" i="6"/>
  <c r="BS43" i="6"/>
  <c r="BT16" i="6"/>
  <c r="BV16" i="6"/>
  <c r="BW16" i="6"/>
  <c r="BY16" i="6"/>
  <c r="BZ16" i="6"/>
  <c r="N19" i="6"/>
  <c r="AG19" i="6"/>
  <c r="AP19" i="6"/>
  <c r="AU19" i="6"/>
  <c r="AV19" i="6"/>
  <c r="AV20" i="6"/>
  <c r="AX19" i="6"/>
  <c r="AY19" i="6"/>
  <c r="AY20" i="6"/>
  <c r="B20" i="6"/>
  <c r="C20" i="6"/>
  <c r="E20" i="6"/>
  <c r="F20" i="6"/>
  <c r="H20" i="6"/>
  <c r="I20" i="6"/>
  <c r="K20" i="6"/>
  <c r="L20" i="6"/>
  <c r="O20" i="6"/>
  <c r="T20" i="6"/>
  <c r="U20" i="6"/>
  <c r="W20" i="6"/>
  <c r="X20" i="6"/>
  <c r="Z20" i="6"/>
  <c r="AA20" i="6"/>
  <c r="AF20" i="6"/>
  <c r="AI20" i="6"/>
  <c r="AJ20" i="6"/>
  <c r="AO20" i="6"/>
  <c r="AR20" i="6"/>
  <c r="AS20" i="6"/>
  <c r="AT20" i="6"/>
  <c r="AU20" i="6"/>
  <c r="AW20" i="6"/>
  <c r="AX20" i="6"/>
  <c r="AZ20" i="6"/>
  <c r="BA20" i="6"/>
  <c r="BB20" i="6"/>
  <c r="BD20" i="6"/>
  <c r="BF20" i="6"/>
  <c r="BE20" i="6"/>
  <c r="BJ20" i="6"/>
  <c r="BK20" i="6"/>
  <c r="BM20" i="6"/>
  <c r="BN20" i="6"/>
  <c r="BP20" i="6"/>
  <c r="BR20" i="6"/>
  <c r="BQ20" i="6"/>
  <c r="BS20" i="6"/>
  <c r="BT20" i="6"/>
  <c r="BV20" i="6"/>
  <c r="BW20" i="6"/>
  <c r="BY20" i="6"/>
  <c r="BZ20" i="6"/>
  <c r="CA20" i="6"/>
  <c r="AF23" i="6"/>
  <c r="AO23" i="6"/>
  <c r="BH24" i="6"/>
  <c r="AU24" i="6"/>
  <c r="AV24" i="6"/>
  <c r="BH25" i="6"/>
  <c r="AX25" i="6"/>
  <c r="AZ25" i="6"/>
  <c r="AY25" i="6"/>
  <c r="W26" i="6"/>
  <c r="X26" i="6"/>
  <c r="Y26" i="6"/>
  <c r="AA26" i="6"/>
  <c r="AB26" i="6"/>
  <c r="AD26" i="6"/>
  <c r="B27" i="6"/>
  <c r="B31" i="6"/>
  <c r="C27" i="6"/>
  <c r="E27" i="6"/>
  <c r="E31" i="6"/>
  <c r="F27" i="6"/>
  <c r="H27" i="6"/>
  <c r="J27" i="6"/>
  <c r="I27" i="6"/>
  <c r="K27" i="6"/>
  <c r="K31" i="6"/>
  <c r="L27" i="6"/>
  <c r="L31" i="6"/>
  <c r="N27" i="6"/>
  <c r="N31" i="6"/>
  <c r="O27" i="6"/>
  <c r="O31" i="6"/>
  <c r="T27" i="6"/>
  <c r="U27" i="6"/>
  <c r="U31" i="6"/>
  <c r="X27" i="6"/>
  <c r="Z27" i="6"/>
  <c r="AA27" i="6"/>
  <c r="AD27" i="6"/>
  <c r="AG27" i="6"/>
  <c r="AM27" i="6"/>
  <c r="AI27" i="6"/>
  <c r="AJ27" i="6"/>
  <c r="AP27" i="6"/>
  <c r="AP31" i="6"/>
  <c r="AR27" i="6"/>
  <c r="AR31" i="6"/>
  <c r="AS27" i="6"/>
  <c r="AS31" i="6"/>
  <c r="AT27" i="6"/>
  <c r="AV27" i="6"/>
  <c r="AX27" i="6"/>
  <c r="AZ27" i="6"/>
  <c r="AY27" i="6"/>
  <c r="BA27" i="6"/>
  <c r="BB27" i="6"/>
  <c r="BB31" i="6"/>
  <c r="BD27" i="6"/>
  <c r="BD31" i="6"/>
  <c r="BE27" i="6"/>
  <c r="BJ27" i="6"/>
  <c r="BK27" i="6"/>
  <c r="BM27" i="6"/>
  <c r="BN27" i="6"/>
  <c r="BP27" i="6"/>
  <c r="BQ27" i="6"/>
  <c r="BS27" i="6"/>
  <c r="BT27" i="6"/>
  <c r="BT31" i="6"/>
  <c r="BV27" i="6"/>
  <c r="BV31" i="6"/>
  <c r="BW27" i="6"/>
  <c r="BW31" i="6"/>
  <c r="BY27" i="6"/>
  <c r="BY31" i="6"/>
  <c r="BZ27" i="6"/>
  <c r="BZ31" i="6"/>
  <c r="E29" i="6"/>
  <c r="F29" i="6"/>
  <c r="R29" i="6"/>
  <c r="BD29" i="6"/>
  <c r="BF29" i="6"/>
  <c r="C30" i="6"/>
  <c r="I31" i="6"/>
  <c r="X31" i="6"/>
  <c r="AA31" i="6"/>
  <c r="AJ31" i="6"/>
  <c r="AV31" i="6"/>
  <c r="AY31" i="6"/>
  <c r="BE31" i="6"/>
  <c r="BJ31" i="6"/>
  <c r="BK31" i="6"/>
  <c r="BM31" i="6"/>
  <c r="BQ31" i="6"/>
  <c r="BS31" i="6"/>
  <c r="W34" i="6"/>
  <c r="AC34" i="6"/>
  <c r="AU34" i="6"/>
  <c r="AU35" i="6"/>
  <c r="BJ34" i="6"/>
  <c r="BL34" i="6"/>
  <c r="BV34" i="6"/>
  <c r="CC34" i="6"/>
  <c r="B35" i="6"/>
  <c r="C35" i="6"/>
  <c r="E35" i="6"/>
  <c r="F35" i="6"/>
  <c r="H35" i="6"/>
  <c r="I35" i="6"/>
  <c r="K35" i="6"/>
  <c r="L35" i="6"/>
  <c r="N35" i="6"/>
  <c r="P35" i="6"/>
  <c r="O35" i="6"/>
  <c r="T35" i="6"/>
  <c r="U35" i="6"/>
  <c r="W35" i="6"/>
  <c r="X35" i="6"/>
  <c r="Z35" i="6"/>
  <c r="AA35" i="6"/>
  <c r="AF35" i="6"/>
  <c r="AG35" i="6"/>
  <c r="AI35" i="6"/>
  <c r="AJ35" i="6"/>
  <c r="AO35" i="6"/>
  <c r="AP35" i="6"/>
  <c r="AR35" i="6"/>
  <c r="AS35" i="6"/>
  <c r="AV35" i="6"/>
  <c r="AW35" i="6"/>
  <c r="AX35" i="6"/>
  <c r="AZ35" i="6"/>
  <c r="AY35" i="6"/>
  <c r="BA35" i="6"/>
  <c r="BB35" i="6"/>
  <c r="BD35" i="6"/>
  <c r="BE35" i="6"/>
  <c r="BJ35" i="6"/>
  <c r="BK35" i="6"/>
  <c r="BM35" i="6"/>
  <c r="BN35" i="6"/>
  <c r="BP35" i="6"/>
  <c r="BQ35" i="6"/>
  <c r="BS35" i="6"/>
  <c r="BT35" i="6"/>
  <c r="BU35" i="6"/>
  <c r="BW35" i="6"/>
  <c r="BY35" i="6"/>
  <c r="CA35" i="6"/>
  <c r="BZ35" i="6"/>
  <c r="H38" i="6"/>
  <c r="J38" i="6"/>
  <c r="Q38" i="6"/>
  <c r="BP38" i="6"/>
  <c r="BQ38" i="6"/>
  <c r="CC38" i="6"/>
  <c r="BS38" i="6"/>
  <c r="BU38" i="6"/>
  <c r="BY38" i="6"/>
  <c r="BZ38" i="6"/>
  <c r="BZ41" i="6"/>
  <c r="CA38" i="6"/>
  <c r="AU39" i="6"/>
  <c r="AW39" i="6"/>
  <c r="BP39" i="6"/>
  <c r="BR39" i="6"/>
  <c r="CF40" i="6"/>
  <c r="BP40" i="6"/>
  <c r="BQ40" i="6"/>
  <c r="CC40" i="6"/>
  <c r="CB40" i="6"/>
  <c r="CD40" i="6"/>
  <c r="B41" i="6"/>
  <c r="C41" i="6"/>
  <c r="E41" i="6"/>
  <c r="F41" i="6"/>
  <c r="H41" i="6"/>
  <c r="I41" i="6"/>
  <c r="K41" i="6"/>
  <c r="L41" i="6"/>
  <c r="N41" i="6"/>
  <c r="O41" i="6"/>
  <c r="T41" i="6"/>
  <c r="U41" i="6"/>
  <c r="W41" i="6"/>
  <c r="X41" i="6"/>
  <c r="Z41" i="6"/>
  <c r="AA41" i="6"/>
  <c r="AF41" i="6"/>
  <c r="AG41" i="6"/>
  <c r="AI41" i="6"/>
  <c r="AJ41" i="6"/>
  <c r="AO41" i="6"/>
  <c r="AP41" i="6"/>
  <c r="AR41" i="6"/>
  <c r="AS41" i="6"/>
  <c r="AU41" i="6"/>
  <c r="AV41" i="6"/>
  <c r="AX41" i="6"/>
  <c r="AY41" i="6"/>
  <c r="BA41" i="6"/>
  <c r="BB41" i="6"/>
  <c r="BD41" i="6"/>
  <c r="BE41" i="6"/>
  <c r="BJ41" i="6"/>
  <c r="BK41" i="6"/>
  <c r="BM41" i="6"/>
  <c r="BN41" i="6"/>
  <c r="BS41" i="6"/>
  <c r="BU41" i="6"/>
  <c r="BT41" i="6"/>
  <c r="BV41" i="6"/>
  <c r="BW41" i="6"/>
  <c r="BX41" i="6"/>
  <c r="BY41" i="6"/>
  <c r="CA41" i="6"/>
  <c r="BW48" i="6"/>
  <c r="BJ49" i="6"/>
  <c r="BL49" i="6"/>
  <c r="BK49" i="6"/>
  <c r="E50" i="6"/>
  <c r="H50" i="6"/>
  <c r="J50" i="6"/>
  <c r="T50" i="6"/>
  <c r="V50" i="6"/>
  <c r="W50" i="6"/>
  <c r="AC50" i="6"/>
  <c r="AF50" i="6"/>
  <c r="AG50" i="6"/>
  <c r="AH50" i="6"/>
  <c r="AL50" i="6"/>
  <c r="AM50" i="6"/>
  <c r="BH50" i="6"/>
  <c r="CF50" i="6"/>
  <c r="AN50" i="6"/>
  <c r="AO50" i="6"/>
  <c r="AU50" i="6"/>
  <c r="AW50" i="6"/>
  <c r="AX50" i="6"/>
  <c r="AY50" i="6"/>
  <c r="AZ50" i="6"/>
  <c r="BD50" i="6"/>
  <c r="BF50" i="6"/>
  <c r="BJ50" i="6"/>
  <c r="BK50" i="6"/>
  <c r="BM50" i="6"/>
  <c r="BO50" i="6"/>
  <c r="BP50" i="6"/>
  <c r="BV50" i="6"/>
  <c r="BX50" i="6"/>
  <c r="E51" i="6"/>
  <c r="F51" i="6"/>
  <c r="R51" i="6"/>
  <c r="H51" i="6"/>
  <c r="H56" i="6"/>
  <c r="K51" i="6"/>
  <c r="M51" i="6"/>
  <c r="AF51" i="6"/>
  <c r="AV51" i="6"/>
  <c r="AW51" i="6"/>
  <c r="AX51" i="6"/>
  <c r="BD51" i="6"/>
  <c r="BF51" i="6"/>
  <c r="BJ51" i="6"/>
  <c r="BK51" i="6"/>
  <c r="BP51" i="6"/>
  <c r="BQ51" i="6"/>
  <c r="BV51" i="6"/>
  <c r="E52" i="6"/>
  <c r="Q52" i="6"/>
  <c r="F52" i="6"/>
  <c r="R52" i="6"/>
  <c r="G52" i="6"/>
  <c r="N52" i="6"/>
  <c r="P52" i="6"/>
  <c r="E53" i="6"/>
  <c r="T53" i="6"/>
  <c r="V53" i="6"/>
  <c r="AC53" i="6"/>
  <c r="AE53" i="6"/>
  <c r="AU53" i="6"/>
  <c r="AW53" i="6"/>
  <c r="AX53" i="6"/>
  <c r="AZ53" i="6"/>
  <c r="BJ53" i="6"/>
  <c r="BK53" i="6"/>
  <c r="BP53" i="6"/>
  <c r="BQ53" i="6"/>
  <c r="CC53" i="6"/>
  <c r="BW53" i="6"/>
  <c r="BX53" i="6"/>
  <c r="X54" i="6"/>
  <c r="AA54" i="6"/>
  <c r="AB54" i="6"/>
  <c r="AF54" i="6"/>
  <c r="AH54" i="6"/>
  <c r="AU54" i="6"/>
  <c r="AV54" i="6"/>
  <c r="BJ54" i="6"/>
  <c r="BL54" i="6"/>
  <c r="BP54" i="6"/>
  <c r="BQ54" i="6"/>
  <c r="BY54" i="6"/>
  <c r="BZ54" i="6"/>
  <c r="CC54" i="6"/>
  <c r="B56" i="6"/>
  <c r="C56" i="6"/>
  <c r="D56" i="6"/>
  <c r="I56" i="6"/>
  <c r="K56" i="6"/>
  <c r="L56" i="6"/>
  <c r="N56" i="6"/>
  <c r="O56" i="6"/>
  <c r="T56" i="6"/>
  <c r="U56" i="6"/>
  <c r="W56" i="6"/>
  <c r="Z56" i="6"/>
  <c r="AA56" i="6"/>
  <c r="AG56" i="6"/>
  <c r="AI56" i="6"/>
  <c r="AJ56" i="6"/>
  <c r="AP56" i="6"/>
  <c r="AR56" i="6"/>
  <c r="AT56" i="6"/>
  <c r="AS56" i="6"/>
  <c r="AV56" i="6"/>
  <c r="BA56" i="6"/>
  <c r="BC56" i="6"/>
  <c r="BB56" i="6"/>
  <c r="BD56" i="6"/>
  <c r="BE56" i="6"/>
  <c r="BN56" i="6"/>
  <c r="BS56" i="6"/>
  <c r="BU56" i="6"/>
  <c r="BT56" i="6"/>
  <c r="BZ56" i="6"/>
  <c r="H59" i="6"/>
  <c r="Q59" i="6"/>
  <c r="AP59" i="6"/>
  <c r="AQ59" i="6"/>
  <c r="AR59" i="6"/>
  <c r="AU59" i="6"/>
  <c r="AV59" i="6"/>
  <c r="AW59" i="6"/>
  <c r="AY59" i="6"/>
  <c r="AZ59" i="6"/>
  <c r="BJ59" i="6"/>
  <c r="BK59" i="6"/>
  <c r="BP59" i="6"/>
  <c r="BQ59" i="6"/>
  <c r="BV59" i="6"/>
  <c r="BY59" i="6"/>
  <c r="CA59" i="6"/>
  <c r="BZ59" i="6"/>
  <c r="CC59" i="6"/>
  <c r="BJ60" i="6"/>
  <c r="BK60" i="6"/>
  <c r="BK66" i="6"/>
  <c r="X61" i="6"/>
  <c r="Y61" i="6"/>
  <c r="AD61" i="6"/>
  <c r="AE61" i="6"/>
  <c r="BJ61" i="6"/>
  <c r="BK61" i="6"/>
  <c r="BL61" i="6"/>
  <c r="BP61" i="6"/>
  <c r="BQ61" i="6"/>
  <c r="CC61" i="6"/>
  <c r="CB61" i="6"/>
  <c r="BJ62" i="6"/>
  <c r="BL62" i="6"/>
  <c r="E63" i="6"/>
  <c r="H63" i="6"/>
  <c r="J63" i="6"/>
  <c r="AF63" i="6"/>
  <c r="AH63" i="6"/>
  <c r="AL63" i="6"/>
  <c r="AN63" i="6"/>
  <c r="AP63" i="6"/>
  <c r="AQ63" i="6"/>
  <c r="AR63" i="6"/>
  <c r="AS63" i="6"/>
  <c r="AY63" i="6"/>
  <c r="AZ63" i="6"/>
  <c r="BD63" i="6"/>
  <c r="BJ63" i="6"/>
  <c r="BK63" i="6"/>
  <c r="BP63" i="6"/>
  <c r="BQ63" i="6"/>
  <c r="CC63" i="6"/>
  <c r="BY63" i="6"/>
  <c r="BZ63" i="6"/>
  <c r="BD64" i="6"/>
  <c r="BF64" i="6"/>
  <c r="E65" i="6"/>
  <c r="F65" i="6"/>
  <c r="H65" i="6"/>
  <c r="J65" i="6"/>
  <c r="W65" i="6"/>
  <c r="AC65" i="6"/>
  <c r="AO65" i="6"/>
  <c r="AQ65" i="6"/>
  <c r="AY65" i="6"/>
  <c r="AZ65" i="6"/>
  <c r="BJ65" i="6"/>
  <c r="BK65" i="6"/>
  <c r="BP65" i="6"/>
  <c r="B66" i="6"/>
  <c r="C66" i="6"/>
  <c r="I66" i="6"/>
  <c r="K66" i="6"/>
  <c r="K95" i="6"/>
  <c r="L66" i="6"/>
  <c r="N66" i="6"/>
  <c r="O66" i="6"/>
  <c r="T66" i="6"/>
  <c r="U66" i="6"/>
  <c r="W66" i="6"/>
  <c r="X66" i="6"/>
  <c r="Z66" i="6"/>
  <c r="AA66" i="6"/>
  <c r="AF66" i="6"/>
  <c r="AG66" i="6"/>
  <c r="AM66" i="6"/>
  <c r="AI66" i="6"/>
  <c r="AK66" i="6"/>
  <c r="AJ66" i="6"/>
  <c r="AO66" i="6"/>
  <c r="AP66" i="6"/>
  <c r="AU66" i="6"/>
  <c r="AW66" i="6"/>
  <c r="AV66" i="6"/>
  <c r="AX66" i="6"/>
  <c r="BA66" i="6"/>
  <c r="BC66" i="6"/>
  <c r="BB66" i="6"/>
  <c r="BE66" i="6"/>
  <c r="BM66" i="6"/>
  <c r="BN66" i="6"/>
  <c r="BO66" i="6"/>
  <c r="BS66" i="6"/>
  <c r="BT66" i="6"/>
  <c r="BW66" i="6"/>
  <c r="BZ66" i="6"/>
  <c r="BP69" i="6"/>
  <c r="BQ69" i="6"/>
  <c r="CC69" i="6"/>
  <c r="B70" i="6"/>
  <c r="C70" i="6"/>
  <c r="E70" i="6"/>
  <c r="F70" i="6"/>
  <c r="H70" i="6"/>
  <c r="I70" i="6"/>
  <c r="K70" i="6"/>
  <c r="L70" i="6"/>
  <c r="M70" i="6"/>
  <c r="N70" i="6"/>
  <c r="O70" i="6"/>
  <c r="T70" i="6"/>
  <c r="U70" i="6"/>
  <c r="W70" i="6"/>
  <c r="X70" i="6"/>
  <c r="Z70" i="6"/>
  <c r="AA70" i="6"/>
  <c r="AF70" i="6"/>
  <c r="AG70" i="6"/>
  <c r="AI70" i="6"/>
  <c r="AK70" i="6"/>
  <c r="AJ70" i="6"/>
  <c r="AO70" i="6"/>
  <c r="AP70" i="6"/>
  <c r="AR70" i="6"/>
  <c r="AS70" i="6"/>
  <c r="AT70" i="6"/>
  <c r="AU70" i="6"/>
  <c r="AV70" i="6"/>
  <c r="AX70" i="6"/>
  <c r="AZ70" i="6"/>
  <c r="AY70" i="6"/>
  <c r="BA70" i="6"/>
  <c r="BC70" i="6"/>
  <c r="BB70" i="6"/>
  <c r="BD70" i="6"/>
  <c r="BE70" i="6"/>
  <c r="BJ70" i="6"/>
  <c r="BK70" i="6"/>
  <c r="BM70" i="6"/>
  <c r="BN70" i="6"/>
  <c r="BP70" i="6"/>
  <c r="BQ70" i="6"/>
  <c r="BS70" i="6"/>
  <c r="BU70" i="6"/>
  <c r="BT70" i="6"/>
  <c r="BV70" i="6"/>
  <c r="BW70" i="6"/>
  <c r="BY70" i="6"/>
  <c r="BZ70" i="6"/>
  <c r="BH72" i="6"/>
  <c r="CF72" i="6"/>
  <c r="AF72" i="6"/>
  <c r="AH72" i="6"/>
  <c r="AL72" i="6"/>
  <c r="AN72" i="6"/>
  <c r="AS72" i="6"/>
  <c r="AT72" i="6"/>
  <c r="AY72" i="6"/>
  <c r="E73" i="6"/>
  <c r="G73" i="6"/>
  <c r="H73" i="6"/>
  <c r="J73" i="6"/>
  <c r="I73" i="6"/>
  <c r="R73" i="6"/>
  <c r="Q73" i="6"/>
  <c r="AF73" i="6"/>
  <c r="AG73" i="6"/>
  <c r="AL73" i="6"/>
  <c r="AO73" i="6"/>
  <c r="AQ73" i="6"/>
  <c r="AP73" i="6"/>
  <c r="AR73" i="6"/>
  <c r="AT73" i="6"/>
  <c r="AU73" i="6"/>
  <c r="AW73" i="6"/>
  <c r="BA73" i="6"/>
  <c r="BC73" i="6"/>
  <c r="BD73" i="6"/>
  <c r="BF73" i="6"/>
  <c r="BY73" i="6"/>
  <c r="CC73" i="6"/>
  <c r="E74" i="6"/>
  <c r="Q74" i="6"/>
  <c r="G74" i="6"/>
  <c r="H74" i="6"/>
  <c r="I74" i="6"/>
  <c r="R74" i="6"/>
  <c r="AF74" i="6"/>
  <c r="AO74" i="6"/>
  <c r="AP74" i="6"/>
  <c r="AP78" i="6"/>
  <c r="AR74" i="6"/>
  <c r="AS74" i="6"/>
  <c r="AU74" i="6"/>
  <c r="AV74" i="6"/>
  <c r="BA74" i="6"/>
  <c r="BC74" i="6"/>
  <c r="BJ74" i="6"/>
  <c r="BJ78" i="6"/>
  <c r="BL78" i="6"/>
  <c r="BP74" i="6"/>
  <c r="BQ74" i="6"/>
  <c r="CC74" i="6"/>
  <c r="BV74" i="6"/>
  <c r="BX74" i="6"/>
  <c r="BY74" i="6"/>
  <c r="CA74" i="6"/>
  <c r="BZ74" i="6"/>
  <c r="H75" i="6"/>
  <c r="I75" i="6"/>
  <c r="R75" i="6"/>
  <c r="Q75" i="6"/>
  <c r="AO75" i="6"/>
  <c r="AP75" i="6"/>
  <c r="AU75" i="6"/>
  <c r="AW75" i="6"/>
  <c r="BA75" i="6"/>
  <c r="BC75" i="6"/>
  <c r="BJ75" i="6"/>
  <c r="BL75" i="6"/>
  <c r="BP75" i="6"/>
  <c r="E76" i="6"/>
  <c r="H76" i="6"/>
  <c r="I76" i="6"/>
  <c r="J76" i="6"/>
  <c r="AF76" i="6"/>
  <c r="AG76" i="6"/>
  <c r="AH76" i="6"/>
  <c r="AI76" i="6"/>
  <c r="AK76" i="6"/>
  <c r="AM76" i="6"/>
  <c r="AO76" i="6"/>
  <c r="AQ76" i="6"/>
  <c r="AP76" i="6"/>
  <c r="AU76" i="6"/>
  <c r="AW76" i="6"/>
  <c r="BC76" i="6"/>
  <c r="BD76" i="6"/>
  <c r="BF76" i="6"/>
  <c r="BJ76" i="6"/>
  <c r="BL76" i="6"/>
  <c r="BS76" i="6"/>
  <c r="BU76" i="6"/>
  <c r="CB76" i="6"/>
  <c r="I77" i="6"/>
  <c r="J77" i="6"/>
  <c r="R77" i="6"/>
  <c r="AF77" i="6"/>
  <c r="AM77" i="6"/>
  <c r="AO77" i="6"/>
  <c r="AQ77" i="6"/>
  <c r="AP77" i="6"/>
  <c r="AW77" i="6"/>
  <c r="BA77" i="6"/>
  <c r="BC77" i="6"/>
  <c r="BD77" i="6"/>
  <c r="B78" i="6"/>
  <c r="D78" i="6"/>
  <c r="C78" i="6"/>
  <c r="E78" i="6"/>
  <c r="F78" i="6"/>
  <c r="H78" i="6"/>
  <c r="K78" i="6"/>
  <c r="L78" i="6"/>
  <c r="N78" i="6"/>
  <c r="O78" i="6"/>
  <c r="T78" i="6"/>
  <c r="U78" i="6"/>
  <c r="W78" i="6"/>
  <c r="X78" i="6"/>
  <c r="Y78" i="6"/>
  <c r="Z78" i="6"/>
  <c r="AA78" i="6"/>
  <c r="AB78" i="6"/>
  <c r="AG78" i="6"/>
  <c r="AM78" i="6"/>
  <c r="AJ78" i="6"/>
  <c r="AO78" i="6"/>
  <c r="AS78" i="6"/>
  <c r="AX78" i="6"/>
  <c r="BA78" i="6"/>
  <c r="BB78" i="6"/>
  <c r="BE78" i="6"/>
  <c r="BK78" i="6"/>
  <c r="BM78" i="6"/>
  <c r="BN78" i="6"/>
  <c r="BP78" i="6"/>
  <c r="BS78" i="6"/>
  <c r="BT78" i="6"/>
  <c r="BU78" i="6"/>
  <c r="BV78" i="6"/>
  <c r="BX78" i="6"/>
  <c r="BW78" i="6"/>
  <c r="BY78" i="6"/>
  <c r="CA78" i="6"/>
  <c r="BZ78" i="6"/>
  <c r="W81" i="6"/>
  <c r="Y81" i="6"/>
  <c r="AC81" i="6"/>
  <c r="BH81" i="6"/>
  <c r="CF81" i="6"/>
  <c r="AO81" i="6"/>
  <c r="AQ81" i="6"/>
  <c r="AP81" i="6"/>
  <c r="AU81" i="6"/>
  <c r="AV81" i="6"/>
  <c r="AV82" i="6"/>
  <c r="B82" i="6"/>
  <c r="C82" i="6"/>
  <c r="E82" i="6"/>
  <c r="F82" i="6"/>
  <c r="G82" i="6"/>
  <c r="H82" i="6"/>
  <c r="I82" i="6"/>
  <c r="K82" i="6"/>
  <c r="L82" i="6"/>
  <c r="N82" i="6"/>
  <c r="O82" i="6"/>
  <c r="P82" i="6"/>
  <c r="T82" i="6"/>
  <c r="U82" i="6"/>
  <c r="W82" i="6"/>
  <c r="X82" i="6"/>
  <c r="Z82" i="6"/>
  <c r="AB82" i="6"/>
  <c r="AA82" i="6"/>
  <c r="AF82" i="6"/>
  <c r="AG82" i="6"/>
  <c r="AI82" i="6"/>
  <c r="AJ82" i="6"/>
  <c r="AO82" i="6"/>
  <c r="AQ82" i="6"/>
  <c r="AP82" i="6"/>
  <c r="AR82" i="6"/>
  <c r="AS82" i="6"/>
  <c r="AU82" i="6"/>
  <c r="AX82" i="6"/>
  <c r="AY82" i="6"/>
  <c r="AZ82" i="6"/>
  <c r="BA82" i="6"/>
  <c r="BB82" i="6"/>
  <c r="BD82" i="6"/>
  <c r="BF82" i="6"/>
  <c r="BE82" i="6"/>
  <c r="BJ82" i="6"/>
  <c r="BK82" i="6"/>
  <c r="BM82" i="6"/>
  <c r="BN82" i="6"/>
  <c r="BO82" i="6"/>
  <c r="BP82" i="6"/>
  <c r="BR82" i="6"/>
  <c r="BQ82" i="6"/>
  <c r="BS82" i="6"/>
  <c r="BT82" i="6"/>
  <c r="CC82" i="6"/>
  <c r="BV82" i="6"/>
  <c r="BX82" i="6"/>
  <c r="BW82" i="6"/>
  <c r="BY82" i="6"/>
  <c r="CA82" i="6"/>
  <c r="BZ82" i="6"/>
  <c r="CE84" i="6"/>
  <c r="BJ84" i="6"/>
  <c r="BL84" i="6"/>
  <c r="BJ85" i="6"/>
  <c r="BL85" i="6"/>
  <c r="BQ86" i="6"/>
  <c r="BR86" i="6"/>
  <c r="CD86" i="6"/>
  <c r="CC86" i="6"/>
  <c r="CF87" i="6"/>
  <c r="BJ87" i="6"/>
  <c r="BK87" i="6"/>
  <c r="BL87" i="6"/>
  <c r="T88" i="6"/>
  <c r="V88" i="6"/>
  <c r="U88" i="6"/>
  <c r="AC88" i="6"/>
  <c r="BJ88" i="6"/>
  <c r="BL88" i="6"/>
  <c r="H89" i="6"/>
  <c r="J89" i="6"/>
  <c r="BJ89" i="6"/>
  <c r="BK89" i="6"/>
  <c r="E90" i="6"/>
  <c r="G90" i="6"/>
  <c r="H90" i="6"/>
  <c r="J90" i="6"/>
  <c r="AX90" i="6"/>
  <c r="AZ90" i="6"/>
  <c r="BD90" i="6"/>
  <c r="BF90" i="6"/>
  <c r="BJ90" i="6"/>
  <c r="BL90" i="6"/>
  <c r="BK90" i="6"/>
  <c r="BP90" i="6"/>
  <c r="BR90" i="6"/>
  <c r="BV90" i="6"/>
  <c r="BY90" i="6"/>
  <c r="BZ90" i="6"/>
  <c r="CC90" i="6"/>
  <c r="E91" i="6"/>
  <c r="F91" i="6"/>
  <c r="R91" i="6"/>
  <c r="H91" i="6"/>
  <c r="J91" i="6"/>
  <c r="BD91" i="6"/>
  <c r="BF91" i="6"/>
  <c r="BJ91" i="6"/>
  <c r="BK91" i="6"/>
  <c r="BP91" i="6"/>
  <c r="BQ91" i="6"/>
  <c r="E92" i="6"/>
  <c r="BJ92" i="6"/>
  <c r="BL92" i="6"/>
  <c r="B93" i="6"/>
  <c r="C93" i="6"/>
  <c r="D93" i="6"/>
  <c r="I93" i="6"/>
  <c r="K93" i="6"/>
  <c r="L93" i="6"/>
  <c r="N93" i="6"/>
  <c r="O93" i="6"/>
  <c r="T93" i="6"/>
  <c r="W93" i="6"/>
  <c r="X93" i="6"/>
  <c r="Z93" i="6"/>
  <c r="AA93" i="6"/>
  <c r="AF93" i="6"/>
  <c r="AG93" i="6"/>
  <c r="AI93" i="6"/>
  <c r="AK93" i="6"/>
  <c r="AJ93" i="6"/>
  <c r="AO93" i="6"/>
  <c r="AQ93" i="6"/>
  <c r="AP93" i="6"/>
  <c r="AR93" i="6"/>
  <c r="AS93" i="6"/>
  <c r="AU93" i="6"/>
  <c r="AV93" i="6"/>
  <c r="AX93" i="6"/>
  <c r="AY93" i="6"/>
  <c r="BA93" i="6"/>
  <c r="BC93" i="6"/>
  <c r="BB93" i="6"/>
  <c r="BD93" i="6"/>
  <c r="BE93" i="6"/>
  <c r="BM93" i="6"/>
  <c r="BO93" i="6"/>
  <c r="BN93" i="6"/>
  <c r="BP93" i="6"/>
  <c r="BS93" i="6"/>
  <c r="BU93" i="6"/>
  <c r="BT93" i="6"/>
  <c r="BW93" i="6"/>
  <c r="BY93" i="6"/>
  <c r="AJ95" i="6"/>
  <c r="BN95" i="6"/>
  <c r="BS95" i="6"/>
  <c r="B9" i="5"/>
  <c r="C9" i="5"/>
  <c r="C11" i="5"/>
  <c r="C43" i="5"/>
  <c r="C44" i="5"/>
  <c r="D9" i="5"/>
  <c r="B10" i="5"/>
  <c r="C10" i="5"/>
  <c r="D10" i="5"/>
  <c r="B11" i="5"/>
  <c r="D14" i="5"/>
  <c r="B15" i="5"/>
  <c r="D15" i="5"/>
  <c r="B16" i="5"/>
  <c r="C16" i="5"/>
  <c r="B19" i="5"/>
  <c r="D19" i="5"/>
  <c r="C19" i="5"/>
  <c r="C20" i="5"/>
  <c r="B23" i="5"/>
  <c r="B27" i="5"/>
  <c r="D23" i="5"/>
  <c r="B24" i="5"/>
  <c r="C24" i="5"/>
  <c r="D24" i="5"/>
  <c r="B25" i="5"/>
  <c r="D25" i="5"/>
  <c r="C25" i="5"/>
  <c r="B26" i="5"/>
  <c r="D26" i="5"/>
  <c r="C26" i="5"/>
  <c r="C27" i="5"/>
  <c r="C31" i="5"/>
  <c r="B29" i="5"/>
  <c r="C29" i="5"/>
  <c r="D29" i="5"/>
  <c r="C30" i="5"/>
  <c r="D30" i="5"/>
  <c r="B34" i="5"/>
  <c r="D34" i="5"/>
  <c r="B35" i="5"/>
  <c r="D35" i="5"/>
  <c r="C35" i="5"/>
  <c r="B38" i="5"/>
  <c r="D38" i="5"/>
  <c r="C38" i="5"/>
  <c r="B39" i="5"/>
  <c r="D39" i="5"/>
  <c r="B40" i="5"/>
  <c r="C40" i="5"/>
  <c r="D40" i="5"/>
  <c r="B41" i="5"/>
  <c r="D41" i="5"/>
  <c r="C41" i="5"/>
  <c r="C48" i="5"/>
  <c r="D48" i="5"/>
  <c r="B49" i="5"/>
  <c r="D49" i="5"/>
  <c r="C49" i="5"/>
  <c r="B50" i="5"/>
  <c r="D50" i="5"/>
  <c r="C50" i="5"/>
  <c r="C56" i="5"/>
  <c r="B51" i="5"/>
  <c r="C51" i="5"/>
  <c r="D51" i="5"/>
  <c r="B52" i="5"/>
  <c r="C52" i="5"/>
  <c r="D52" i="5"/>
  <c r="B53" i="5"/>
  <c r="D53" i="5"/>
  <c r="C53" i="5"/>
  <c r="B54" i="5"/>
  <c r="D54" i="5"/>
  <c r="C54" i="5"/>
  <c r="B59" i="5"/>
  <c r="C59" i="5"/>
  <c r="C66" i="5"/>
  <c r="D59" i="5"/>
  <c r="B60" i="5"/>
  <c r="C60" i="5"/>
  <c r="D60" i="5"/>
  <c r="B61" i="5"/>
  <c r="B66" i="5"/>
  <c r="C61" i="5"/>
  <c r="B62" i="5"/>
  <c r="D62" i="5"/>
  <c r="B63" i="5"/>
  <c r="C63" i="5"/>
  <c r="D63" i="5"/>
  <c r="B64" i="5"/>
  <c r="D64" i="5"/>
  <c r="B65" i="5"/>
  <c r="C65" i="5"/>
  <c r="D65" i="5"/>
  <c r="B69" i="5"/>
  <c r="C69" i="5"/>
  <c r="D69" i="5"/>
  <c r="B70" i="5"/>
  <c r="D70" i="5"/>
  <c r="C70" i="5"/>
  <c r="B72" i="5"/>
  <c r="D72" i="5"/>
  <c r="C72" i="5"/>
  <c r="C78" i="5"/>
  <c r="B73" i="5"/>
  <c r="C73" i="5"/>
  <c r="D73" i="5"/>
  <c r="B74" i="5"/>
  <c r="C74" i="5"/>
  <c r="D74" i="5"/>
  <c r="B75" i="5"/>
  <c r="D75" i="5"/>
  <c r="C75" i="5"/>
  <c r="B76" i="5"/>
  <c r="D76" i="5"/>
  <c r="C76" i="5"/>
  <c r="B77" i="5"/>
  <c r="C77" i="5"/>
  <c r="D77" i="5"/>
  <c r="D80" i="5"/>
  <c r="B81" i="5"/>
  <c r="C81" i="5"/>
  <c r="D81" i="5"/>
  <c r="B82" i="5"/>
  <c r="D82" i="5"/>
  <c r="C82" i="5"/>
  <c r="B84" i="5"/>
  <c r="B93" i="5"/>
  <c r="D93" i="5"/>
  <c r="D84" i="5"/>
  <c r="B85" i="5"/>
  <c r="D85" i="5"/>
  <c r="C86" i="5"/>
  <c r="D86" i="5"/>
  <c r="B87" i="5"/>
  <c r="C87" i="5"/>
  <c r="D87" i="5"/>
  <c r="B88" i="5"/>
  <c r="D88" i="5"/>
  <c r="C88" i="5"/>
  <c r="B89" i="5"/>
  <c r="D89" i="5"/>
  <c r="C89" i="5"/>
  <c r="C93" i="5"/>
  <c r="B90" i="5"/>
  <c r="C90" i="5"/>
  <c r="D90" i="5"/>
  <c r="B91" i="5"/>
  <c r="C91" i="5"/>
  <c r="D91" i="5"/>
  <c r="B92" i="5"/>
  <c r="D92" i="5"/>
  <c r="C8" i="3"/>
  <c r="G8" i="3"/>
  <c r="D8" i="3"/>
  <c r="S8" i="3"/>
  <c r="S10" i="3"/>
  <c r="S41" i="3"/>
  <c r="S42" i="3"/>
  <c r="U8" i="3"/>
  <c r="U10" i="3"/>
  <c r="U41" i="3"/>
  <c r="U42" i="3"/>
  <c r="W8" i="3"/>
  <c r="Y8" i="3"/>
  <c r="Z8" i="3"/>
  <c r="Z10" i="3"/>
  <c r="P9" i="3"/>
  <c r="U9" i="3"/>
  <c r="W9" i="3"/>
  <c r="Y9" i="3"/>
  <c r="B10" i="3"/>
  <c r="C10" i="3"/>
  <c r="D10" i="3"/>
  <c r="E10" i="3"/>
  <c r="G10" i="3"/>
  <c r="F10" i="3"/>
  <c r="H10" i="3"/>
  <c r="I10" i="3"/>
  <c r="K10" i="3"/>
  <c r="L10" i="3"/>
  <c r="N10" i="3"/>
  <c r="O10" i="3"/>
  <c r="Q10" i="3"/>
  <c r="R10" i="3"/>
  <c r="V10" i="3"/>
  <c r="X10" i="3"/>
  <c r="W14" i="3"/>
  <c r="AA14" i="3"/>
  <c r="B15" i="3"/>
  <c r="C15" i="3"/>
  <c r="D15" i="3"/>
  <c r="E15" i="3"/>
  <c r="F15" i="3"/>
  <c r="H15" i="3"/>
  <c r="I15" i="3"/>
  <c r="K15" i="3"/>
  <c r="L15" i="3"/>
  <c r="N15" i="3"/>
  <c r="O15" i="3"/>
  <c r="P15" i="3"/>
  <c r="Q15" i="3"/>
  <c r="R15" i="3"/>
  <c r="S15" i="3"/>
  <c r="U15" i="3"/>
  <c r="V15" i="3"/>
  <c r="X15" i="3"/>
  <c r="Y15" i="3"/>
  <c r="Z15" i="3"/>
  <c r="F18" i="3"/>
  <c r="G18" i="3"/>
  <c r="P18" i="3"/>
  <c r="Q18" i="3"/>
  <c r="Q19" i="3"/>
  <c r="B19" i="3"/>
  <c r="C19" i="3"/>
  <c r="D19" i="3"/>
  <c r="E19" i="3"/>
  <c r="F19" i="3"/>
  <c r="H19" i="3"/>
  <c r="J19" i="3"/>
  <c r="I19" i="3"/>
  <c r="K19" i="3"/>
  <c r="L19" i="3"/>
  <c r="N19" i="3"/>
  <c r="O19" i="3"/>
  <c r="P19" i="3"/>
  <c r="R19" i="3"/>
  <c r="S19" i="3"/>
  <c r="U19" i="3"/>
  <c r="V19" i="3"/>
  <c r="W19" i="3"/>
  <c r="X19" i="3"/>
  <c r="Y19" i="3"/>
  <c r="Z19" i="3"/>
  <c r="K22" i="3"/>
  <c r="M22" i="3"/>
  <c r="N22" i="3"/>
  <c r="P23" i="3"/>
  <c r="T23" i="3"/>
  <c r="AB23" i="3"/>
  <c r="Q24" i="3"/>
  <c r="Q26" i="3"/>
  <c r="Q29" i="3"/>
  <c r="I25" i="3"/>
  <c r="B26" i="3"/>
  <c r="C26" i="3"/>
  <c r="D26" i="3"/>
  <c r="E26" i="3"/>
  <c r="F26" i="3"/>
  <c r="F29" i="3"/>
  <c r="H26" i="3"/>
  <c r="L26" i="3"/>
  <c r="N26" i="3"/>
  <c r="O26" i="3"/>
  <c r="O29" i="3"/>
  <c r="R26" i="3"/>
  <c r="S26" i="3"/>
  <c r="U26" i="3"/>
  <c r="V26" i="3"/>
  <c r="W26" i="3"/>
  <c r="X26" i="3"/>
  <c r="Y26" i="3"/>
  <c r="Z26" i="3"/>
  <c r="C28" i="3"/>
  <c r="G28" i="3"/>
  <c r="J28" i="3"/>
  <c r="M28" i="3"/>
  <c r="S28" i="3"/>
  <c r="B29" i="3"/>
  <c r="C29" i="3"/>
  <c r="E29" i="3"/>
  <c r="N29" i="3"/>
  <c r="R29" i="3"/>
  <c r="S29" i="3"/>
  <c r="U29" i="3"/>
  <c r="V29" i="3"/>
  <c r="W29" i="3"/>
  <c r="Y29" i="3"/>
  <c r="Z29" i="3"/>
  <c r="I32" i="3"/>
  <c r="J32" i="3"/>
  <c r="P32" i="3"/>
  <c r="U32" i="3"/>
  <c r="U33" i="3"/>
  <c r="Y32" i="3"/>
  <c r="AA32" i="3"/>
  <c r="B33" i="3"/>
  <c r="C33" i="3"/>
  <c r="D33" i="3"/>
  <c r="E33" i="3"/>
  <c r="F33" i="3"/>
  <c r="H33" i="3"/>
  <c r="I33" i="3"/>
  <c r="J33" i="3"/>
  <c r="K33" i="3"/>
  <c r="L33" i="3"/>
  <c r="N33" i="3"/>
  <c r="O33" i="3"/>
  <c r="P33" i="3"/>
  <c r="Q33" i="3"/>
  <c r="R33" i="3"/>
  <c r="S33" i="3"/>
  <c r="V33" i="3"/>
  <c r="W33" i="3"/>
  <c r="X33" i="3"/>
  <c r="Y33" i="3"/>
  <c r="Z33" i="3"/>
  <c r="D36" i="3"/>
  <c r="G36" i="3"/>
  <c r="W36" i="3"/>
  <c r="X36" i="3"/>
  <c r="X39" i="3"/>
  <c r="Z36" i="3"/>
  <c r="Z39" i="3"/>
  <c r="P37" i="3"/>
  <c r="T37" i="3"/>
  <c r="W37" i="3"/>
  <c r="W38" i="3"/>
  <c r="AA38" i="3"/>
  <c r="B39" i="3"/>
  <c r="C39" i="3"/>
  <c r="E39" i="3"/>
  <c r="F39" i="3"/>
  <c r="H39" i="3"/>
  <c r="J39" i="3"/>
  <c r="I39" i="3"/>
  <c r="K39" i="3"/>
  <c r="L39" i="3"/>
  <c r="N39" i="3"/>
  <c r="O39" i="3"/>
  <c r="P39" i="3"/>
  <c r="Q39" i="3"/>
  <c r="R39" i="3"/>
  <c r="S39" i="3"/>
  <c r="U39" i="3"/>
  <c r="V39" i="3"/>
  <c r="Y39" i="3"/>
  <c r="E41" i="3"/>
  <c r="E42" i="3"/>
  <c r="AB46" i="3"/>
  <c r="U46" i="3"/>
  <c r="C47" i="3"/>
  <c r="D47" i="3"/>
  <c r="H47" i="3"/>
  <c r="I47" i="3"/>
  <c r="K47" i="3"/>
  <c r="M47" i="3"/>
  <c r="N47" i="3"/>
  <c r="N53" i="3"/>
  <c r="P47" i="3"/>
  <c r="Q47" i="3"/>
  <c r="S47" i="3"/>
  <c r="U47" i="3"/>
  <c r="V47" i="3"/>
  <c r="W47" i="3"/>
  <c r="Y47" i="3"/>
  <c r="AA47" i="3"/>
  <c r="C48" i="3"/>
  <c r="D48" i="3"/>
  <c r="E48" i="3"/>
  <c r="K48" i="3"/>
  <c r="Q48" i="3"/>
  <c r="Q53" i="3"/>
  <c r="Q91" i="3"/>
  <c r="S48" i="3"/>
  <c r="U48" i="3"/>
  <c r="W48" i="3"/>
  <c r="AA48" i="3"/>
  <c r="Y48" i="3"/>
  <c r="C49" i="3"/>
  <c r="F49" i="3"/>
  <c r="G49" i="3"/>
  <c r="T49" i="3"/>
  <c r="AB49" i="3"/>
  <c r="C50" i="3"/>
  <c r="G50" i="3"/>
  <c r="H50" i="3"/>
  <c r="P50" i="3"/>
  <c r="Q50" i="3"/>
  <c r="U50" i="3"/>
  <c r="W50" i="3"/>
  <c r="AA50" i="3"/>
  <c r="T51" i="3"/>
  <c r="K51" i="3"/>
  <c r="M51" i="3"/>
  <c r="P51" i="3"/>
  <c r="U51" i="3"/>
  <c r="W51" i="3"/>
  <c r="AA51" i="3"/>
  <c r="Z51" i="3"/>
  <c r="B53" i="3"/>
  <c r="E53" i="3"/>
  <c r="F53" i="3"/>
  <c r="F91" i="3"/>
  <c r="I53" i="3"/>
  <c r="L53" i="3"/>
  <c r="O53" i="3"/>
  <c r="P53" i="3"/>
  <c r="R53" i="3"/>
  <c r="S53" i="3"/>
  <c r="V53" i="3"/>
  <c r="V91" i="3"/>
  <c r="X53" i="3"/>
  <c r="Z53" i="3"/>
  <c r="D56" i="3"/>
  <c r="G56" i="3"/>
  <c r="T56" i="3"/>
  <c r="O56" i="3"/>
  <c r="P56" i="3"/>
  <c r="U56" i="3"/>
  <c r="U63" i="3"/>
  <c r="W56" i="3"/>
  <c r="Y56" i="3"/>
  <c r="Z56" i="3"/>
  <c r="U57" i="3"/>
  <c r="AB57" i="3"/>
  <c r="U58" i="3"/>
  <c r="W58" i="3"/>
  <c r="AA58" i="3"/>
  <c r="AB59" i="3"/>
  <c r="U59" i="3"/>
  <c r="C60" i="3"/>
  <c r="D60" i="3"/>
  <c r="J60" i="3"/>
  <c r="K60" i="3"/>
  <c r="M60" i="3"/>
  <c r="O60" i="3"/>
  <c r="S60" i="3"/>
  <c r="U60" i="3"/>
  <c r="W60" i="3"/>
  <c r="Z60" i="3"/>
  <c r="S61" i="3"/>
  <c r="T61" i="3"/>
  <c r="C62" i="3"/>
  <c r="C63" i="3"/>
  <c r="D62" i="3"/>
  <c r="G62" i="3"/>
  <c r="I62" i="3"/>
  <c r="J62" i="3"/>
  <c r="N62" i="3"/>
  <c r="N63" i="3"/>
  <c r="U62" i="3"/>
  <c r="W62" i="3"/>
  <c r="AA62" i="3"/>
  <c r="B63" i="3"/>
  <c r="E63" i="3"/>
  <c r="F63" i="3"/>
  <c r="H63" i="3"/>
  <c r="K63" i="3"/>
  <c r="L63" i="3"/>
  <c r="O63" i="3"/>
  <c r="P63" i="3"/>
  <c r="Q63" i="3"/>
  <c r="R63" i="3"/>
  <c r="V63" i="3"/>
  <c r="W63" i="3"/>
  <c r="X63" i="3"/>
  <c r="Y63" i="3"/>
  <c r="W66" i="3"/>
  <c r="W67" i="3"/>
  <c r="AA66" i="3"/>
  <c r="B67" i="3"/>
  <c r="C67" i="3"/>
  <c r="D67" i="3"/>
  <c r="E67" i="3"/>
  <c r="F67" i="3"/>
  <c r="H67" i="3"/>
  <c r="I67" i="3"/>
  <c r="K67" i="3"/>
  <c r="L67" i="3"/>
  <c r="N67" i="3"/>
  <c r="O67" i="3"/>
  <c r="P67" i="3"/>
  <c r="Q67" i="3"/>
  <c r="R67" i="3"/>
  <c r="S67" i="3"/>
  <c r="U67" i="3"/>
  <c r="V67" i="3"/>
  <c r="X67" i="3"/>
  <c r="Y67" i="3"/>
  <c r="Z67" i="3"/>
  <c r="K69" i="3"/>
  <c r="M69" i="3"/>
  <c r="T69" i="3"/>
  <c r="AB69" i="3"/>
  <c r="C70" i="3"/>
  <c r="D70" i="3"/>
  <c r="K70" i="3"/>
  <c r="N70" i="3"/>
  <c r="O70" i="3"/>
  <c r="O75" i="3"/>
  <c r="O91" i="3"/>
  <c r="P70" i="3"/>
  <c r="R70" i="3"/>
  <c r="S70" i="3"/>
  <c r="Z70" i="3"/>
  <c r="AA70" i="3"/>
  <c r="C71" i="3"/>
  <c r="D71" i="3"/>
  <c r="K71" i="3"/>
  <c r="M71" i="3"/>
  <c r="N71" i="3"/>
  <c r="O71" i="3"/>
  <c r="P71" i="3"/>
  <c r="R71" i="3"/>
  <c r="U71" i="3"/>
  <c r="W71" i="3"/>
  <c r="Y71" i="3"/>
  <c r="Z71" i="3"/>
  <c r="D72" i="3"/>
  <c r="G72" i="3"/>
  <c r="N72" i="3"/>
  <c r="P72" i="3"/>
  <c r="R72" i="3"/>
  <c r="U72" i="3"/>
  <c r="W72" i="3"/>
  <c r="AA72" i="3"/>
  <c r="C73" i="3"/>
  <c r="D73" i="3"/>
  <c r="K73" i="3"/>
  <c r="M73" i="3"/>
  <c r="L73" i="3"/>
  <c r="N73" i="3"/>
  <c r="P73" i="3"/>
  <c r="S73" i="3"/>
  <c r="U73" i="3"/>
  <c r="X73" i="3"/>
  <c r="K74" i="3"/>
  <c r="M74" i="3"/>
  <c r="N74" i="3"/>
  <c r="R74" i="3"/>
  <c r="S74" i="3"/>
  <c r="B75" i="3"/>
  <c r="B91" i="3"/>
  <c r="E75" i="3"/>
  <c r="F75" i="3"/>
  <c r="H75" i="3"/>
  <c r="I75" i="3"/>
  <c r="L75" i="3"/>
  <c r="Q75" i="3"/>
  <c r="S75" i="3"/>
  <c r="U75" i="3"/>
  <c r="V75" i="3"/>
  <c r="W75" i="3"/>
  <c r="Y75" i="3"/>
  <c r="I78" i="3"/>
  <c r="J78" i="3"/>
  <c r="N78" i="3"/>
  <c r="N79" i="3"/>
  <c r="P78" i="3"/>
  <c r="B79" i="3"/>
  <c r="C79" i="3"/>
  <c r="G79" i="3"/>
  <c r="D79" i="3"/>
  <c r="E79" i="3"/>
  <c r="F79" i="3"/>
  <c r="H79" i="3"/>
  <c r="K79" i="3"/>
  <c r="L79" i="3"/>
  <c r="O79" i="3"/>
  <c r="P79" i="3"/>
  <c r="Q79" i="3"/>
  <c r="R79" i="3"/>
  <c r="S79" i="3"/>
  <c r="U79" i="3"/>
  <c r="V79" i="3"/>
  <c r="AA79" i="3"/>
  <c r="W79" i="3"/>
  <c r="X79" i="3"/>
  <c r="Y79" i="3"/>
  <c r="Z79" i="3"/>
  <c r="U81" i="3"/>
  <c r="AB81" i="3"/>
  <c r="U82" i="3"/>
  <c r="AB82" i="3"/>
  <c r="U83" i="3"/>
  <c r="H84" i="3"/>
  <c r="U84" i="3"/>
  <c r="D85" i="3"/>
  <c r="G85" i="3"/>
  <c r="T85" i="3"/>
  <c r="U85" i="3"/>
  <c r="C86" i="3"/>
  <c r="D86" i="3"/>
  <c r="Q86" i="3"/>
  <c r="S86" i="3"/>
  <c r="U86" i="3"/>
  <c r="W86" i="3"/>
  <c r="AA86" i="3"/>
  <c r="Y86" i="3"/>
  <c r="Z86" i="3"/>
  <c r="C87" i="3"/>
  <c r="D87" i="3"/>
  <c r="S87" i="3"/>
  <c r="U87" i="3"/>
  <c r="W87" i="3"/>
  <c r="AA87" i="3"/>
  <c r="C88" i="3"/>
  <c r="U88" i="3"/>
  <c r="B89" i="3"/>
  <c r="E89" i="3"/>
  <c r="F89" i="3"/>
  <c r="I89" i="3"/>
  <c r="K89" i="3"/>
  <c r="L89" i="3"/>
  <c r="M89" i="3"/>
  <c r="N89" i="3"/>
  <c r="O89" i="3"/>
  <c r="P89" i="3"/>
  <c r="Q89" i="3"/>
  <c r="R89" i="3"/>
  <c r="S89" i="3"/>
  <c r="V89" i="3"/>
  <c r="X89" i="3"/>
  <c r="Y89" i="3"/>
  <c r="Z89" i="3"/>
  <c r="BU16" i="6"/>
  <c r="D16" i="5"/>
  <c r="R41" i="3"/>
  <c r="R42" i="3"/>
  <c r="Q41" i="3"/>
  <c r="Q42" i="3"/>
  <c r="Q92" i="3"/>
  <c r="Q94" i="3"/>
  <c r="S75" i="6"/>
  <c r="P93" i="6"/>
  <c r="M41" i="6"/>
  <c r="L43" i="6"/>
  <c r="L44" i="6"/>
  <c r="G20" i="6"/>
  <c r="C95" i="6"/>
  <c r="D82" i="6"/>
  <c r="D20" i="6"/>
  <c r="S73" i="6"/>
  <c r="M31" i="6"/>
  <c r="M78" i="6"/>
  <c r="M66" i="6"/>
  <c r="M35" i="6"/>
  <c r="H31" i="6"/>
  <c r="R41" i="6"/>
  <c r="Y70" i="6"/>
  <c r="V66" i="6"/>
  <c r="Y41" i="6"/>
  <c r="AC78" i="6"/>
  <c r="Y35" i="6"/>
  <c r="V20" i="6"/>
  <c r="AC35" i="6"/>
  <c r="Z95" i="6"/>
  <c r="AB93" i="6"/>
  <c r="AH66" i="6"/>
  <c r="AH16" i="6"/>
  <c r="AK11" i="6"/>
  <c r="AM93" i="6"/>
  <c r="AJ43" i="6"/>
  <c r="AJ44" i="6"/>
  <c r="AQ11" i="6"/>
  <c r="AT35" i="6"/>
  <c r="AW16" i="6"/>
  <c r="AZ93" i="6"/>
  <c r="BC82" i="6"/>
  <c r="BC41" i="6"/>
  <c r="BB95" i="6"/>
  <c r="BL82" i="6"/>
  <c r="BL70" i="6"/>
  <c r="BL41" i="6"/>
  <c r="CF24" i="6"/>
  <c r="CD15" i="6"/>
  <c r="AP95" i="6"/>
  <c r="AT93" i="6"/>
  <c r="AQ41" i="6"/>
  <c r="BF27" i="6"/>
  <c r="BC20" i="6"/>
  <c r="AZ16" i="6"/>
  <c r="BB43" i="6"/>
  <c r="BB44" i="6"/>
  <c r="BB96" i="6"/>
  <c r="BB98" i="6"/>
  <c r="BC11" i="6"/>
  <c r="BH91" i="6"/>
  <c r="AE81" i="6"/>
  <c r="AA95" i="6"/>
  <c r="AB95" i="6"/>
  <c r="BG52" i="6"/>
  <c r="CE52" i="6"/>
  <c r="AM41" i="6"/>
  <c r="AD41" i="6"/>
  <c r="BH41" i="6"/>
  <c r="CF38" i="6"/>
  <c r="U43" i="6"/>
  <c r="U44" i="6"/>
  <c r="AJ96" i="6"/>
  <c r="AJ98" i="6"/>
  <c r="BH29" i="6"/>
  <c r="CF29" i="6"/>
  <c r="V27" i="6"/>
  <c r="AA43" i="6"/>
  <c r="AA44" i="6"/>
  <c r="AM16" i="6"/>
  <c r="Y16" i="6"/>
  <c r="M82" i="6"/>
  <c r="P78" i="6"/>
  <c r="Q78" i="6"/>
  <c r="P70" i="6"/>
  <c r="L95" i="6"/>
  <c r="L96" i="6"/>
  <c r="L98" i="6"/>
  <c r="M27" i="6"/>
  <c r="P31" i="6"/>
  <c r="J16" i="6"/>
  <c r="R76" i="6"/>
  <c r="BH76" i="6"/>
  <c r="CF76" i="6"/>
  <c r="BR54" i="6"/>
  <c r="CB54" i="6"/>
  <c r="CD54" i="6"/>
  <c r="BC27" i="6"/>
  <c r="BA31" i="6"/>
  <c r="BC31" i="6"/>
  <c r="AH23" i="6"/>
  <c r="AF27" i="6"/>
  <c r="AL23" i="6"/>
  <c r="AN23" i="6"/>
  <c r="AQ19" i="6"/>
  <c r="AP20" i="6"/>
  <c r="AP43" i="6"/>
  <c r="AP44" i="6"/>
  <c r="M11" i="6"/>
  <c r="K43" i="6"/>
  <c r="B95" i="6"/>
  <c r="D95" i="6"/>
  <c r="F93" i="6"/>
  <c r="CA90" i="6"/>
  <c r="CF90" i="6"/>
  <c r="AW82" i="6"/>
  <c r="BQ78" i="6"/>
  <c r="BR78" i="6"/>
  <c r="BR74" i="6"/>
  <c r="BL74" i="6"/>
  <c r="CC70" i="6"/>
  <c r="F56" i="6"/>
  <c r="Y54" i="6"/>
  <c r="X56" i="6"/>
  <c r="Y56" i="6"/>
  <c r="AL51" i="6"/>
  <c r="AN51" i="6"/>
  <c r="AH51" i="6"/>
  <c r="CB50" i="6"/>
  <c r="CD50" i="6"/>
  <c r="CB56" i="6"/>
  <c r="BS44" i="6"/>
  <c r="T31" i="6"/>
  <c r="T43" i="6"/>
  <c r="BK43" i="6"/>
  <c r="BK44" i="6"/>
  <c r="AG20" i="6"/>
  <c r="AH20" i="6"/>
  <c r="AH19" i="6"/>
  <c r="AM19" i="6"/>
  <c r="AN19" i="6"/>
  <c r="AV11" i="6"/>
  <c r="AV43" i="6"/>
  <c r="AV44" i="6"/>
  <c r="BH10" i="6"/>
  <c r="CF10" i="6"/>
  <c r="BL9" i="6"/>
  <c r="BJ11" i="6"/>
  <c r="AL74" i="6"/>
  <c r="BG74" i="6"/>
  <c r="AH74" i="6"/>
  <c r="BF93" i="6"/>
  <c r="AW93" i="6"/>
  <c r="BR91" i="6"/>
  <c r="BJ93" i="6"/>
  <c r="CB82" i="6"/>
  <c r="CD82" i="6"/>
  <c r="AT82" i="6"/>
  <c r="AM82" i="6"/>
  <c r="AW81" i="6"/>
  <c r="BG81" i="6"/>
  <c r="CE81" i="6"/>
  <c r="CG81" i="6"/>
  <c r="AH73" i="6"/>
  <c r="AM73" i="6"/>
  <c r="AN73" i="6"/>
  <c r="AF78" i="6"/>
  <c r="AH78" i="6"/>
  <c r="AL70" i="6"/>
  <c r="BH61" i="6"/>
  <c r="CF61" i="6"/>
  <c r="AL35" i="6"/>
  <c r="AK35" i="6"/>
  <c r="Q31" i="6"/>
  <c r="H43" i="6"/>
  <c r="H44" i="6"/>
  <c r="BU27" i="6"/>
  <c r="AK27" i="6"/>
  <c r="AI31" i="6"/>
  <c r="AI43" i="6"/>
  <c r="AU27" i="6"/>
  <c r="AW24" i="6"/>
  <c r="BG24" i="6"/>
  <c r="BI24" i="6"/>
  <c r="AQ23" i="6"/>
  <c r="AO27" i="6"/>
  <c r="AQ20" i="6"/>
  <c r="AZ72" i="6"/>
  <c r="AY78" i="6"/>
  <c r="AZ78" i="6"/>
  <c r="CA54" i="6"/>
  <c r="BY56" i="6"/>
  <c r="CA56" i="6"/>
  <c r="N95" i="6"/>
  <c r="Q90" i="6"/>
  <c r="BG90" i="6"/>
  <c r="CF86" i="6"/>
  <c r="AK82" i="6"/>
  <c r="AI78" i="6"/>
  <c r="G78" i="6"/>
  <c r="AL76" i="6"/>
  <c r="AN76" i="6"/>
  <c r="AQ75" i="6"/>
  <c r="AW70" i="6"/>
  <c r="AC70" i="6"/>
  <c r="BR69" i="6"/>
  <c r="CB69" i="6"/>
  <c r="CD69" i="6"/>
  <c r="AQ66" i="6"/>
  <c r="Q65" i="6"/>
  <c r="BG65" i="6"/>
  <c r="BR35" i="6"/>
  <c r="CC35" i="6"/>
  <c r="G29" i="6"/>
  <c r="AL16" i="6"/>
  <c r="AN16" i="6"/>
  <c r="AK16" i="6"/>
  <c r="CE62" i="6"/>
  <c r="CG62" i="6"/>
  <c r="AM56" i="6"/>
  <c r="BH51" i="6"/>
  <c r="BH34" i="6"/>
  <c r="BH26" i="6"/>
  <c r="CF26" i="6"/>
  <c r="BD43" i="6"/>
  <c r="BD44" i="6"/>
  <c r="R16" i="6"/>
  <c r="AD82" i="6"/>
  <c r="AD78" i="6"/>
  <c r="AE78" i="6"/>
  <c r="CD76" i="6"/>
  <c r="BH75" i="6"/>
  <c r="CF75" i="6"/>
  <c r="BX70" i="6"/>
  <c r="BR70" i="6"/>
  <c r="G70" i="6"/>
  <c r="BU66" i="6"/>
  <c r="AY66" i="6"/>
  <c r="AB66" i="6"/>
  <c r="D66" i="6"/>
  <c r="BL65" i="6"/>
  <c r="AE65" i="6"/>
  <c r="BD66" i="6"/>
  <c r="BF66" i="6"/>
  <c r="BM56" i="6"/>
  <c r="P56" i="6"/>
  <c r="AL54" i="6"/>
  <c r="AN54" i="6"/>
  <c r="BL51" i="6"/>
  <c r="J56" i="6"/>
  <c r="BL50" i="6"/>
  <c r="AE50" i="6"/>
  <c r="BO41" i="6"/>
  <c r="BF41" i="6"/>
  <c r="AZ41" i="6"/>
  <c r="AH41" i="6"/>
  <c r="V41" i="6"/>
  <c r="AC41" i="6"/>
  <c r="BX31" i="6"/>
  <c r="AG31" i="6"/>
  <c r="J31" i="6"/>
  <c r="Q29" i="6"/>
  <c r="BG29" i="6"/>
  <c r="CE29" i="6"/>
  <c r="BR27" i="6"/>
  <c r="BP31" i="6"/>
  <c r="BR31" i="6"/>
  <c r="BL27" i="6"/>
  <c r="AC26" i="6"/>
  <c r="AE26" i="6"/>
  <c r="W27" i="6"/>
  <c r="AC27" i="6"/>
  <c r="AE27" i="6"/>
  <c r="BW43" i="6"/>
  <c r="BW44" i="6"/>
  <c r="BO20" i="6"/>
  <c r="R20" i="6"/>
  <c r="J20" i="6"/>
  <c r="AD16" i="6"/>
  <c r="O43" i="6"/>
  <c r="O44" i="6"/>
  <c r="AB11" i="6"/>
  <c r="B43" i="6"/>
  <c r="B44" i="6"/>
  <c r="B96" i="6"/>
  <c r="B98" i="6"/>
  <c r="CA70" i="6"/>
  <c r="AQ70" i="6"/>
  <c r="AB70" i="6"/>
  <c r="D70" i="6"/>
  <c r="O95" i="6"/>
  <c r="BL63" i="6"/>
  <c r="CD61" i="6"/>
  <c r="BR61" i="6"/>
  <c r="BH59" i="6"/>
  <c r="CF59" i="6"/>
  <c r="BF56" i="6"/>
  <c r="AY56" i="6"/>
  <c r="AY95" i="6"/>
  <c r="AB56" i="6"/>
  <c r="R56" i="6"/>
  <c r="Y50" i="6"/>
  <c r="AB41" i="6"/>
  <c r="BL35" i="6"/>
  <c r="BG34" i="6"/>
  <c r="AW34" i="6"/>
  <c r="BU31" i="6"/>
  <c r="BL31" i="6"/>
  <c r="BT43" i="6"/>
  <c r="BT44" i="6"/>
  <c r="CB10" i="6"/>
  <c r="AK41" i="6"/>
  <c r="P41" i="6"/>
  <c r="BG38" i="6"/>
  <c r="BI38" i="6"/>
  <c r="BF35" i="6"/>
  <c r="AQ35" i="6"/>
  <c r="AB35" i="6"/>
  <c r="D35" i="6"/>
  <c r="AE34" i="6"/>
  <c r="AD20" i="6"/>
  <c r="BX16" i="6"/>
  <c r="BL16" i="6"/>
  <c r="BF11" i="6"/>
  <c r="AW11" i="6"/>
  <c r="R11" i="6"/>
  <c r="BP11" i="6"/>
  <c r="Q9" i="6"/>
  <c r="S9" i="6"/>
  <c r="G16" i="6"/>
  <c r="AM11" i="6"/>
  <c r="T78" i="3"/>
  <c r="AB78" i="3"/>
  <c r="S91" i="3"/>
  <c r="S92" i="3"/>
  <c r="S94" i="3"/>
  <c r="AB22" i="3"/>
  <c r="T22" i="3"/>
  <c r="U89" i="3"/>
  <c r="E91" i="3"/>
  <c r="G87" i="3"/>
  <c r="M79" i="3"/>
  <c r="J75" i="3"/>
  <c r="G73" i="3"/>
  <c r="T73" i="3"/>
  <c r="I63" i="3"/>
  <c r="D63" i="3"/>
  <c r="G63" i="3"/>
  <c r="U53" i="3"/>
  <c r="E92" i="3"/>
  <c r="E94" i="3"/>
  <c r="T28" i="3"/>
  <c r="AB28" i="3"/>
  <c r="W89" i="3"/>
  <c r="T72" i="3"/>
  <c r="AB72" i="3"/>
  <c r="M67" i="3"/>
  <c r="W91" i="3"/>
  <c r="M33" i="3"/>
  <c r="P26" i="3"/>
  <c r="P29" i="3"/>
  <c r="K26" i="3"/>
  <c r="K29" i="3"/>
  <c r="T24" i="3"/>
  <c r="AB24" i="3"/>
  <c r="C41" i="3"/>
  <c r="AA8" i="3"/>
  <c r="AB51" i="3"/>
  <c r="AA67" i="3"/>
  <c r="G67" i="3"/>
  <c r="T62" i="3"/>
  <c r="AB62" i="3"/>
  <c r="S63" i="3"/>
  <c r="M39" i="3"/>
  <c r="T32" i="3"/>
  <c r="M19" i="3"/>
  <c r="O41" i="3"/>
  <c r="O42" i="3"/>
  <c r="O92" i="3"/>
  <c r="O94" i="3"/>
  <c r="I79" i="3"/>
  <c r="J79" i="3"/>
  <c r="T79" i="3"/>
  <c r="AB79" i="3"/>
  <c r="N75" i="3"/>
  <c r="N91" i="3"/>
  <c r="AA71" i="3"/>
  <c r="J67" i="3"/>
  <c r="J63" i="3"/>
  <c r="AA60" i="3"/>
  <c r="G60" i="3"/>
  <c r="T60" i="3"/>
  <c r="J47" i="3"/>
  <c r="D39" i="3"/>
  <c r="G39" i="3"/>
  <c r="T39" i="3"/>
  <c r="J10" i="3"/>
  <c r="AA89" i="3"/>
  <c r="L91" i="3"/>
  <c r="M63" i="3"/>
  <c r="T63" i="3"/>
  <c r="B42" i="8"/>
  <c r="V93" i="6"/>
  <c r="AC93" i="6"/>
  <c r="S90" i="6"/>
  <c r="J82" i="6"/>
  <c r="Q82" i="6"/>
  <c r="BO78" i="6"/>
  <c r="CB78" i="6"/>
  <c r="BD78" i="6"/>
  <c r="BF77" i="6"/>
  <c r="BH77" i="6"/>
  <c r="CF77" i="6"/>
  <c r="AW74" i="6"/>
  <c r="AV78" i="6"/>
  <c r="AV95" i="6"/>
  <c r="BF70" i="6"/>
  <c r="BE95" i="6"/>
  <c r="AH70" i="6"/>
  <c r="AM70" i="6"/>
  <c r="AG95" i="6"/>
  <c r="V70" i="6"/>
  <c r="AD70" i="6"/>
  <c r="T95" i="6"/>
  <c r="M93" i="6"/>
  <c r="G92" i="6"/>
  <c r="Q92" i="6"/>
  <c r="G91" i="6"/>
  <c r="Q91" i="6"/>
  <c r="E93" i="6"/>
  <c r="CF89" i="6"/>
  <c r="AD88" i="6"/>
  <c r="BH88" i="6"/>
  <c r="CF88" i="6"/>
  <c r="U93" i="6"/>
  <c r="AD93" i="6"/>
  <c r="BU82" i="6"/>
  <c r="V82" i="6"/>
  <c r="AC82" i="6"/>
  <c r="AQ78" i="6"/>
  <c r="BO70" i="6"/>
  <c r="CB70" i="6"/>
  <c r="CD70" i="6"/>
  <c r="BM95" i="6"/>
  <c r="BT95" i="6"/>
  <c r="AH93" i="6"/>
  <c r="AL93" i="6"/>
  <c r="R93" i="6"/>
  <c r="AH82" i="6"/>
  <c r="AL82" i="6"/>
  <c r="AN82" i="6"/>
  <c r="BG75" i="6"/>
  <c r="CA73" i="6"/>
  <c r="CB73" i="6"/>
  <c r="CD73" i="6"/>
  <c r="CE69" i="6"/>
  <c r="AZ66" i="6"/>
  <c r="Y66" i="6"/>
  <c r="AC66" i="6"/>
  <c r="W95" i="6"/>
  <c r="BG88" i="6"/>
  <c r="J78" i="6"/>
  <c r="BU95" i="6"/>
  <c r="Y93" i="6"/>
  <c r="H93" i="6"/>
  <c r="J93" i="6"/>
  <c r="CC91" i="6"/>
  <c r="BQ93" i="6"/>
  <c r="BL91" i="6"/>
  <c r="CF91" i="6"/>
  <c r="BV93" i="6"/>
  <c r="BX93" i="6"/>
  <c r="BX90" i="6"/>
  <c r="CB90" i="6"/>
  <c r="CD90" i="6"/>
  <c r="BK93" i="6"/>
  <c r="BL93" i="6"/>
  <c r="Q89" i="6"/>
  <c r="CG84" i="6"/>
  <c r="Y82" i="6"/>
  <c r="R82" i="6"/>
  <c r="BC78" i="6"/>
  <c r="BA95" i="6"/>
  <c r="BC95" i="6"/>
  <c r="V78" i="6"/>
  <c r="I78" i="6"/>
  <c r="R78" i="6"/>
  <c r="S78" i="6"/>
  <c r="AT74" i="6"/>
  <c r="AR78" i="6"/>
  <c r="AT78" i="6"/>
  <c r="AN74" i="6"/>
  <c r="J70" i="6"/>
  <c r="R70" i="6"/>
  <c r="I95" i="6"/>
  <c r="BX59" i="6"/>
  <c r="BV66" i="6"/>
  <c r="BX66" i="6"/>
  <c r="CB91" i="6"/>
  <c r="CD91" i="6"/>
  <c r="BL89" i="6"/>
  <c r="AL78" i="6"/>
  <c r="AN78" i="6"/>
  <c r="Q76" i="6"/>
  <c r="G76" i="6"/>
  <c r="BR75" i="6"/>
  <c r="CB75" i="6"/>
  <c r="CD75" i="6"/>
  <c r="AN70" i="6"/>
  <c r="CF69" i="6"/>
  <c r="G65" i="6"/>
  <c r="R65" i="6"/>
  <c r="F66" i="6"/>
  <c r="CA63" i="6"/>
  <c r="BY66" i="6"/>
  <c r="CB63" i="6"/>
  <c r="CD63" i="6"/>
  <c r="CE61" i="6"/>
  <c r="CB59" i="6"/>
  <c r="CD59" i="6"/>
  <c r="BP66" i="6"/>
  <c r="BR59" i="6"/>
  <c r="BG59" i="6"/>
  <c r="S59" i="6"/>
  <c r="BL53" i="6"/>
  <c r="BJ56" i="6"/>
  <c r="BQ56" i="6"/>
  <c r="AX56" i="6"/>
  <c r="AZ51" i="6"/>
  <c r="S77" i="6"/>
  <c r="J75" i="6"/>
  <c r="BH74" i="6"/>
  <c r="CF74" i="6"/>
  <c r="AD66" i="6"/>
  <c r="P66" i="6"/>
  <c r="BR65" i="6"/>
  <c r="CB65" i="6"/>
  <c r="CD65" i="6"/>
  <c r="BH63" i="6"/>
  <c r="CF63" i="6"/>
  <c r="AS66" i="6"/>
  <c r="AS95" i="6"/>
  <c r="G63" i="6"/>
  <c r="Q63" i="6"/>
  <c r="E66" i="6"/>
  <c r="AW54" i="6"/>
  <c r="AU56" i="6"/>
  <c r="BG54" i="6"/>
  <c r="BX51" i="6"/>
  <c r="BV56" i="6"/>
  <c r="G51" i="6"/>
  <c r="Q51" i="6"/>
  <c r="BH52" i="6"/>
  <c r="CF52" i="6"/>
  <c r="BX48" i="6"/>
  <c r="CC48" i="6"/>
  <c r="BW56" i="6"/>
  <c r="BW95" i="6"/>
  <c r="BZ93" i="6"/>
  <c r="AU78" i="6"/>
  <c r="AH77" i="6"/>
  <c r="AL77" i="6"/>
  <c r="CB74" i="6"/>
  <c r="CD74" i="6"/>
  <c r="AQ74" i="6"/>
  <c r="S74" i="6"/>
  <c r="J74" i="6"/>
  <c r="BG73" i="6"/>
  <c r="BG72" i="6"/>
  <c r="Q70" i="6"/>
  <c r="BG64" i="6"/>
  <c r="BR63" i="6"/>
  <c r="BQ66" i="6"/>
  <c r="CC66" i="6"/>
  <c r="AT63" i="6"/>
  <c r="BL60" i="6"/>
  <c r="CF60" i="6"/>
  <c r="BL59" i="6"/>
  <c r="BJ66" i="6"/>
  <c r="BL66" i="6"/>
  <c r="AT59" i="6"/>
  <c r="AR66" i="6"/>
  <c r="J59" i="6"/>
  <c r="H66" i="6"/>
  <c r="CF49" i="6"/>
  <c r="BC35" i="6"/>
  <c r="BA43" i="6"/>
  <c r="E43" i="6"/>
  <c r="AL66" i="6"/>
  <c r="AN66" i="6"/>
  <c r="BF63" i="6"/>
  <c r="BO56" i="6"/>
  <c r="BK56" i="6"/>
  <c r="AK56" i="6"/>
  <c r="M56" i="6"/>
  <c r="CB53" i="6"/>
  <c r="CD53" i="6"/>
  <c r="BR53" i="6"/>
  <c r="G53" i="6"/>
  <c r="Q53" i="6"/>
  <c r="CC51" i="6"/>
  <c r="J51" i="6"/>
  <c r="BR50" i="6"/>
  <c r="BF31" i="6"/>
  <c r="BE43" i="6"/>
  <c r="AT31" i="6"/>
  <c r="AS43" i="6"/>
  <c r="AS44" i="6"/>
  <c r="AT11" i="6"/>
  <c r="AR43" i="6"/>
  <c r="AH11" i="6"/>
  <c r="AL11" i="6"/>
  <c r="AN11" i="6"/>
  <c r="AD11" i="6"/>
  <c r="X43" i="6"/>
  <c r="S52" i="6"/>
  <c r="G41" i="6"/>
  <c r="Q41" i="6"/>
  <c r="CA31" i="6"/>
  <c r="BY43" i="6"/>
  <c r="BM43" i="6"/>
  <c r="BG25" i="6"/>
  <c r="AF56" i="6"/>
  <c r="V56" i="6"/>
  <c r="AC56" i="6"/>
  <c r="CF53" i="6"/>
  <c r="CB51" i="6"/>
  <c r="BR51" i="6"/>
  <c r="AQ50" i="6"/>
  <c r="AO56" i="6"/>
  <c r="Q50" i="6"/>
  <c r="G50" i="6"/>
  <c r="E56" i="6"/>
  <c r="AW41" i="6"/>
  <c r="G35" i="6"/>
  <c r="Q35" i="6"/>
  <c r="AY43" i="6"/>
  <c r="AY44" i="6"/>
  <c r="BQ41" i="6"/>
  <c r="AM31" i="6"/>
  <c r="BG30" i="6"/>
  <c r="Q19" i="6"/>
  <c r="N20" i="6"/>
  <c r="P20" i="6"/>
  <c r="P19" i="6"/>
  <c r="BR11" i="6"/>
  <c r="J41" i="6"/>
  <c r="D41" i="6"/>
  <c r="CB38" i="6"/>
  <c r="BP41" i="6"/>
  <c r="CB41" i="6"/>
  <c r="BR38" i="6"/>
  <c r="BO35" i="6"/>
  <c r="AH35" i="6"/>
  <c r="AM35" i="6"/>
  <c r="V35" i="6"/>
  <c r="AD35" i="6"/>
  <c r="AE35" i="6"/>
  <c r="J35" i="6"/>
  <c r="R35" i="6"/>
  <c r="R27" i="6"/>
  <c r="BH27" i="6"/>
  <c r="F31" i="6"/>
  <c r="G31" i="6"/>
  <c r="CC20" i="6"/>
  <c r="P16" i="6"/>
  <c r="Q16" i="6"/>
  <c r="N43" i="6"/>
  <c r="CE15" i="6"/>
  <c r="BZ11" i="6"/>
  <c r="CC9" i="6"/>
  <c r="AD54" i="6"/>
  <c r="I43" i="6"/>
  <c r="I44" i="6"/>
  <c r="AT41" i="6"/>
  <c r="BR40" i="6"/>
  <c r="BG39" i="6"/>
  <c r="S38" i="6"/>
  <c r="BX34" i="6"/>
  <c r="BV35" i="6"/>
  <c r="BX35" i="6"/>
  <c r="CB34" i="6"/>
  <c r="CD34" i="6"/>
  <c r="AD31" i="6"/>
  <c r="D30" i="6"/>
  <c r="C31" i="6"/>
  <c r="BH30" i="6"/>
  <c r="CF30" i="6"/>
  <c r="CC27" i="6"/>
  <c r="BN31" i="6"/>
  <c r="BO31" i="6"/>
  <c r="AB27" i="6"/>
  <c r="Z31" i="6"/>
  <c r="BG23" i="6"/>
  <c r="AL41" i="6"/>
  <c r="AN41" i="6"/>
  <c r="CB39" i="6"/>
  <c r="CD39" i="6"/>
  <c r="Y34" i="6"/>
  <c r="BX27" i="6"/>
  <c r="CB27" i="6"/>
  <c r="BO27" i="6"/>
  <c r="P27" i="6"/>
  <c r="Q27" i="6"/>
  <c r="G27" i="6"/>
  <c r="CF25" i="6"/>
  <c r="BX20" i="6"/>
  <c r="AB20" i="6"/>
  <c r="AZ19" i="6"/>
  <c r="AQ16" i="6"/>
  <c r="BR14" i="6"/>
  <c r="Y11" i="6"/>
  <c r="CA9" i="6"/>
  <c r="M20" i="6"/>
  <c r="D16" i="6"/>
  <c r="J11" i="6"/>
  <c r="Q11" i="6"/>
  <c r="CD10" i="6"/>
  <c r="BR9" i="6"/>
  <c r="CB9" i="6"/>
  <c r="AX31" i="6"/>
  <c r="CA27" i="6"/>
  <c r="D27" i="6"/>
  <c r="BU20" i="6"/>
  <c r="CB20" i="6"/>
  <c r="BL20" i="6"/>
  <c r="AK20" i="6"/>
  <c r="AL20" i="6"/>
  <c r="Y20" i="6"/>
  <c r="AC20" i="6"/>
  <c r="BH19" i="6"/>
  <c r="CF19" i="6"/>
  <c r="CA16" i="6"/>
  <c r="CC16" i="6"/>
  <c r="BC16" i="6"/>
  <c r="AB16" i="6"/>
  <c r="AC16" i="6"/>
  <c r="BU11" i="6"/>
  <c r="V11" i="6"/>
  <c r="AC11" i="6"/>
  <c r="BG10" i="6"/>
  <c r="BX9" i="6"/>
  <c r="BV11" i="6"/>
  <c r="BG9" i="6"/>
  <c r="BO16" i="6"/>
  <c r="C95" i="5"/>
  <c r="C96" i="5"/>
  <c r="C98" i="5"/>
  <c r="D66" i="5"/>
  <c r="D27" i="5"/>
  <c r="B31" i="5"/>
  <c r="D31" i="5"/>
  <c r="B20" i="5"/>
  <c r="D20" i="5"/>
  <c r="D61" i="5"/>
  <c r="D11" i="5"/>
  <c r="B78" i="5"/>
  <c r="D78" i="5"/>
  <c r="P91" i="3"/>
  <c r="D89" i="3"/>
  <c r="G86" i="3"/>
  <c r="T86" i="3"/>
  <c r="AB86" i="3"/>
  <c r="AB60" i="3"/>
  <c r="G47" i="3"/>
  <c r="T47" i="3"/>
  <c r="AB47" i="3"/>
  <c r="C53" i="3"/>
  <c r="AA33" i="3"/>
  <c r="C89" i="3"/>
  <c r="G88" i="3"/>
  <c r="T88" i="3"/>
  <c r="AB88" i="3"/>
  <c r="H89" i="3"/>
  <c r="J89" i="3"/>
  <c r="J84" i="3"/>
  <c r="T84" i="3"/>
  <c r="AB84" i="3"/>
  <c r="X75" i="3"/>
  <c r="AA73" i="3"/>
  <c r="AB73" i="3"/>
  <c r="G70" i="3"/>
  <c r="C75" i="3"/>
  <c r="G75" i="3"/>
  <c r="AB66" i="3"/>
  <c r="H53" i="3"/>
  <c r="J50" i="3"/>
  <c r="T50" i="3"/>
  <c r="AB50" i="3"/>
  <c r="W39" i="3"/>
  <c r="AA39" i="3"/>
  <c r="AA37" i="3"/>
  <c r="AB37" i="3"/>
  <c r="AA26" i="3"/>
  <c r="X29" i="3"/>
  <c r="AA29" i="3"/>
  <c r="G26" i="3"/>
  <c r="D29" i="3"/>
  <c r="G29" i="3"/>
  <c r="N41" i="3"/>
  <c r="N42" i="3"/>
  <c r="T18" i="3"/>
  <c r="AB18" i="3"/>
  <c r="M15" i="3"/>
  <c r="AB83" i="3"/>
  <c r="T74" i="3"/>
  <c r="AB74" i="3"/>
  <c r="R75" i="3"/>
  <c r="R91" i="3"/>
  <c r="R92" i="3"/>
  <c r="R94" i="3"/>
  <c r="P75" i="3"/>
  <c r="Y53" i="3"/>
  <c r="G48" i="3"/>
  <c r="D53" i="3"/>
  <c r="AB38" i="3"/>
  <c r="T36" i="3"/>
  <c r="Z41" i="3"/>
  <c r="Z42" i="3"/>
  <c r="AA19" i="3"/>
  <c r="V41" i="3"/>
  <c r="G19" i="3"/>
  <c r="T19" i="3"/>
  <c r="AB19" i="3"/>
  <c r="F41" i="3"/>
  <c r="F42" i="3"/>
  <c r="F92" i="3"/>
  <c r="F94" i="3"/>
  <c r="B41" i="3"/>
  <c r="X41" i="3"/>
  <c r="X42" i="3"/>
  <c r="G15" i="3"/>
  <c r="W15" i="3"/>
  <c r="AA15" i="3"/>
  <c r="AB13" i="3"/>
  <c r="M10" i="3"/>
  <c r="K41" i="3"/>
  <c r="T9" i="3"/>
  <c r="P10" i="3"/>
  <c r="P41" i="3"/>
  <c r="P42" i="3"/>
  <c r="P92" i="3"/>
  <c r="P94" i="3"/>
  <c r="D75" i="3"/>
  <c r="G71" i="3"/>
  <c r="T71" i="3"/>
  <c r="AB71" i="3"/>
  <c r="K75" i="3"/>
  <c r="M75" i="3"/>
  <c r="M70" i="3"/>
  <c r="H29" i="3"/>
  <c r="J29" i="3"/>
  <c r="J25" i="3"/>
  <c r="T25" i="3"/>
  <c r="AB25" i="3"/>
  <c r="I26" i="3"/>
  <c r="I29" i="3"/>
  <c r="I41" i="3"/>
  <c r="I42" i="3"/>
  <c r="AB14" i="3"/>
  <c r="W10" i="3"/>
  <c r="C42" i="3"/>
  <c r="X91" i="3"/>
  <c r="T87" i="3"/>
  <c r="AB87" i="3"/>
  <c r="AB85" i="3"/>
  <c r="Z75" i="3"/>
  <c r="AB61" i="3"/>
  <c r="AB58" i="3"/>
  <c r="Z63" i="3"/>
  <c r="AA56" i="3"/>
  <c r="AB56" i="3"/>
  <c r="K53" i="3"/>
  <c r="M48" i="3"/>
  <c r="AA36" i="3"/>
  <c r="G33" i="3"/>
  <c r="T33" i="3"/>
  <c r="AB33" i="3"/>
  <c r="AB32" i="3"/>
  <c r="L29" i="3"/>
  <c r="M29" i="3"/>
  <c r="M26" i="3"/>
  <c r="J15" i="3"/>
  <c r="Y10" i="3"/>
  <c r="Y41" i="3"/>
  <c r="Y42" i="3"/>
  <c r="AA9" i="3"/>
  <c r="T8" i="3"/>
  <c r="AB8" i="3"/>
  <c r="M43" i="6"/>
  <c r="S29" i="6"/>
  <c r="S16" i="6"/>
  <c r="M95" i="6"/>
  <c r="CG61" i="6"/>
  <c r="Q20" i="6"/>
  <c r="S20" i="6"/>
  <c r="V31" i="6"/>
  <c r="AE70" i="6"/>
  <c r="AE11" i="6"/>
  <c r="BH35" i="6"/>
  <c r="CF35" i="6"/>
  <c r="AE41" i="6"/>
  <c r="AE20" i="6"/>
  <c r="BG26" i="6"/>
  <c r="CE26" i="6"/>
  <c r="CG26" i="6"/>
  <c r="AE66" i="6"/>
  <c r="BH11" i="6"/>
  <c r="BH16" i="6"/>
  <c r="CF16" i="6"/>
  <c r="AN35" i="6"/>
  <c r="BH93" i="6"/>
  <c r="CF93" i="6"/>
  <c r="BH82" i="6"/>
  <c r="CF82" i="6"/>
  <c r="AN93" i="6"/>
  <c r="CF51" i="6"/>
  <c r="BI61" i="6"/>
  <c r="BI29" i="6"/>
  <c r="CB31" i="6"/>
  <c r="BT96" i="6"/>
  <c r="BT98" i="6"/>
  <c r="BU43" i="6"/>
  <c r="AP96" i="6"/>
  <c r="AP98" i="6"/>
  <c r="CG52" i="6"/>
  <c r="AV96" i="6"/>
  <c r="AV98" i="6"/>
  <c r="AE82" i="6"/>
  <c r="AA96" i="6"/>
  <c r="AA98" i="6"/>
  <c r="BI34" i="6"/>
  <c r="AE16" i="6"/>
  <c r="CG15" i="6"/>
  <c r="CF9" i="6"/>
  <c r="CF48" i="6"/>
  <c r="CG29" i="6"/>
  <c r="O96" i="6"/>
  <c r="O98" i="6"/>
  <c r="CB11" i="6"/>
  <c r="K44" i="6"/>
  <c r="K96" i="6"/>
  <c r="CD48" i="6"/>
  <c r="BW96" i="6"/>
  <c r="BW98" i="6"/>
  <c r="BR56" i="6"/>
  <c r="CB66" i="6"/>
  <c r="BH70" i="6"/>
  <c r="CF70" i="6"/>
  <c r="AK78" i="6"/>
  <c r="AI95" i="6"/>
  <c r="AK95" i="6"/>
  <c r="AK31" i="6"/>
  <c r="BL11" i="6"/>
  <c r="BJ43" i="6"/>
  <c r="AM20" i="6"/>
  <c r="BH20" i="6"/>
  <c r="CF20" i="6"/>
  <c r="AG43" i="6"/>
  <c r="V43" i="6"/>
  <c r="T44" i="6"/>
  <c r="V44" i="6"/>
  <c r="AD56" i="6"/>
  <c r="BH56" i="6"/>
  <c r="X95" i="6"/>
  <c r="Y95" i="6"/>
  <c r="CE24" i="6"/>
  <c r="CG24" i="6"/>
  <c r="CD51" i="6"/>
  <c r="BK95" i="6"/>
  <c r="BK96" i="6"/>
  <c r="BK98" i="6"/>
  <c r="BI52" i="6"/>
  <c r="AW78" i="6"/>
  <c r="CC56" i="6"/>
  <c r="CD56" i="6"/>
  <c r="BH78" i="6"/>
  <c r="BI81" i="6"/>
  <c r="P95" i="6"/>
  <c r="CF27" i="6"/>
  <c r="CC93" i="6"/>
  <c r="CB93" i="6"/>
  <c r="BH73" i="6"/>
  <c r="CF73" i="6"/>
  <c r="Y27" i="6"/>
  <c r="W31" i="6"/>
  <c r="AC31" i="6"/>
  <c r="AQ27" i="6"/>
  <c r="AO31" i="6"/>
  <c r="AU31" i="6"/>
  <c r="AW27" i="6"/>
  <c r="CC78" i="6"/>
  <c r="CD78" i="6"/>
  <c r="BU44" i="6"/>
  <c r="BS96" i="6"/>
  <c r="BS98" i="6"/>
  <c r="AH27" i="6"/>
  <c r="AL27" i="6"/>
  <c r="AN27" i="6"/>
  <c r="AF31" i="6"/>
  <c r="N92" i="3"/>
  <c r="N94" i="3"/>
  <c r="I91" i="3"/>
  <c r="U91" i="3"/>
  <c r="U92" i="3"/>
  <c r="U94" i="3"/>
  <c r="I92" i="3"/>
  <c r="I94" i="3"/>
  <c r="T67" i="3"/>
  <c r="AB67" i="3"/>
  <c r="D41" i="3"/>
  <c r="D42" i="3"/>
  <c r="D92" i="3"/>
  <c r="D94" i="3"/>
  <c r="D91" i="3"/>
  <c r="AB39" i="3"/>
  <c r="G89" i="3"/>
  <c r="T89" i="3"/>
  <c r="AB89" i="3"/>
  <c r="C43" i="6"/>
  <c r="CE25" i="6"/>
  <c r="CG25" i="6"/>
  <c r="BI25" i="6"/>
  <c r="AT66" i="6"/>
  <c r="AR95" i="6"/>
  <c r="AT95" i="6"/>
  <c r="S51" i="6"/>
  <c r="BG51" i="6"/>
  <c r="CD66" i="6"/>
  <c r="BI59" i="6"/>
  <c r="CE59" i="6"/>
  <c r="CG59" i="6"/>
  <c r="CE60" i="6"/>
  <c r="CG60" i="6"/>
  <c r="CA66" i="6"/>
  <c r="BY95" i="6"/>
  <c r="S76" i="6"/>
  <c r="BG76" i="6"/>
  <c r="CE85" i="6"/>
  <c r="CG85" i="6"/>
  <c r="S92" i="6"/>
  <c r="BG92" i="6"/>
  <c r="BR93" i="6"/>
  <c r="AZ31" i="6"/>
  <c r="AX43" i="6"/>
  <c r="S11" i="6"/>
  <c r="BG11" i="6"/>
  <c r="CD14" i="6"/>
  <c r="CE14" i="6"/>
  <c r="CG14" i="6"/>
  <c r="CD27" i="6"/>
  <c r="CC31" i="6"/>
  <c r="BN43" i="6"/>
  <c r="BO43" i="6"/>
  <c r="CA11" i="6"/>
  <c r="BZ43" i="6"/>
  <c r="BZ44" i="6"/>
  <c r="D31" i="6"/>
  <c r="CG30" i="6"/>
  <c r="BI30" i="6"/>
  <c r="J43" i="6"/>
  <c r="AQ56" i="6"/>
  <c r="AO95" i="6"/>
  <c r="AH56" i="6"/>
  <c r="AL56" i="6"/>
  <c r="AN56" i="6"/>
  <c r="AF95" i="6"/>
  <c r="BY44" i="6"/>
  <c r="BG41" i="6"/>
  <c r="S41" i="6"/>
  <c r="AS96" i="6"/>
  <c r="AS98" i="6"/>
  <c r="BG53" i="6"/>
  <c r="S53" i="6"/>
  <c r="E44" i="6"/>
  <c r="Q43" i="6"/>
  <c r="CE54" i="6"/>
  <c r="AZ56" i="6"/>
  <c r="AX95" i="6"/>
  <c r="AZ95" i="6"/>
  <c r="CE65" i="6"/>
  <c r="S89" i="6"/>
  <c r="BG89" i="6"/>
  <c r="AE88" i="6"/>
  <c r="BG78" i="6"/>
  <c r="G93" i="6"/>
  <c r="Q93" i="6"/>
  <c r="CE87" i="6"/>
  <c r="CG87" i="6"/>
  <c r="AE93" i="6"/>
  <c r="BG16" i="6"/>
  <c r="CE23" i="6"/>
  <c r="CG23" i="6"/>
  <c r="BI23" i="6"/>
  <c r="CC41" i="6"/>
  <c r="CD41" i="6"/>
  <c r="BQ43" i="6"/>
  <c r="BQ44" i="6"/>
  <c r="S50" i="6"/>
  <c r="BG50" i="6"/>
  <c r="S63" i="6"/>
  <c r="BG63" i="6"/>
  <c r="CE9" i="6"/>
  <c r="CG9" i="6"/>
  <c r="BI9" i="6"/>
  <c r="CE10" i="6"/>
  <c r="CG10" i="6"/>
  <c r="CD9" i="6"/>
  <c r="S27" i="6"/>
  <c r="AB31" i="6"/>
  <c r="Z43" i="6"/>
  <c r="CE39" i="6"/>
  <c r="CG39" i="6"/>
  <c r="BI39" i="6"/>
  <c r="J44" i="6"/>
  <c r="I96" i="6"/>
  <c r="I98" i="6"/>
  <c r="CB35" i="6"/>
  <c r="CD35" i="6"/>
  <c r="BR41" i="6"/>
  <c r="CF41" i="6"/>
  <c r="S19" i="6"/>
  <c r="BG19" i="6"/>
  <c r="AK43" i="6"/>
  <c r="AI44" i="6"/>
  <c r="AY96" i="6"/>
  <c r="AY98" i="6"/>
  <c r="Q56" i="6"/>
  <c r="G56" i="6"/>
  <c r="E95" i="6"/>
  <c r="BM44" i="6"/>
  <c r="X44" i="6"/>
  <c r="AD43" i="6"/>
  <c r="BA44" i="6"/>
  <c r="BC43" i="6"/>
  <c r="J66" i="6"/>
  <c r="H95" i="6"/>
  <c r="BI64" i="6"/>
  <c r="CE64" i="6"/>
  <c r="CG64" i="6"/>
  <c r="CE72" i="6"/>
  <c r="CG72" i="6"/>
  <c r="BI72" i="6"/>
  <c r="BX56" i="6"/>
  <c r="BV95" i="6"/>
  <c r="BX95" i="6"/>
  <c r="AW56" i="6"/>
  <c r="AU95" i="6"/>
  <c r="AW95" i="6"/>
  <c r="BQ95" i="6"/>
  <c r="BR66" i="6"/>
  <c r="BP95" i="6"/>
  <c r="R66" i="6"/>
  <c r="BH66" i="6"/>
  <c r="CF66" i="6"/>
  <c r="F95" i="6"/>
  <c r="R95" i="6"/>
  <c r="CG86" i="6"/>
  <c r="CE88" i="6"/>
  <c r="CG88" i="6"/>
  <c r="BI88" i="6"/>
  <c r="CG69" i="6"/>
  <c r="CE75" i="6"/>
  <c r="CG75" i="6"/>
  <c r="BI75" i="6"/>
  <c r="BO95" i="6"/>
  <c r="S91" i="6"/>
  <c r="BG91" i="6"/>
  <c r="AC95" i="6"/>
  <c r="AM95" i="6"/>
  <c r="P43" i="6"/>
  <c r="N44" i="6"/>
  <c r="CE40" i="6"/>
  <c r="CG40" i="6"/>
  <c r="CE49" i="6"/>
  <c r="CG49" i="6"/>
  <c r="S70" i="6"/>
  <c r="BG70" i="6"/>
  <c r="AN77" i="6"/>
  <c r="BG77" i="6"/>
  <c r="BX11" i="6"/>
  <c r="BV43" i="6"/>
  <c r="CD20" i="6"/>
  <c r="CC11" i="6"/>
  <c r="BR16" i="6"/>
  <c r="BP43" i="6"/>
  <c r="AE54" i="6"/>
  <c r="BH54" i="6"/>
  <c r="CF54" i="6"/>
  <c r="CD16" i="6"/>
  <c r="R31" i="6"/>
  <c r="S31" i="6"/>
  <c r="F43" i="6"/>
  <c r="CD38" i="6"/>
  <c r="CE38" i="6"/>
  <c r="CG38" i="6"/>
  <c r="S35" i="6"/>
  <c r="BG35" i="6"/>
  <c r="CD31" i="6"/>
  <c r="CE34" i="6"/>
  <c r="CG34" i="6"/>
  <c r="AR44" i="6"/>
  <c r="AT43" i="6"/>
  <c r="BE44" i="6"/>
  <c r="BF43" i="6"/>
  <c r="CE73" i="6"/>
  <c r="BZ95" i="6"/>
  <c r="CA93" i="6"/>
  <c r="Q66" i="6"/>
  <c r="G66" i="6"/>
  <c r="BJ95" i="6"/>
  <c r="BL56" i="6"/>
  <c r="BH65" i="6"/>
  <c r="CF65" i="6"/>
  <c r="S65" i="6"/>
  <c r="BI74" i="6"/>
  <c r="CE74" i="6"/>
  <c r="CG74" i="6"/>
  <c r="U95" i="6"/>
  <c r="BF78" i="6"/>
  <c r="BD95" i="6"/>
  <c r="S82" i="6"/>
  <c r="BG82" i="6"/>
  <c r="CE90" i="6"/>
  <c r="CG90" i="6"/>
  <c r="BI90" i="6"/>
  <c r="B43" i="5"/>
  <c r="B95" i="5"/>
  <c r="D95" i="5"/>
  <c r="D56" i="5"/>
  <c r="W41" i="3"/>
  <c r="W42" i="3"/>
  <c r="W92" i="3"/>
  <c r="W94" i="3"/>
  <c r="AA10" i="3"/>
  <c r="K42" i="3"/>
  <c r="T75" i="3"/>
  <c r="Z91" i="3"/>
  <c r="J26" i="3"/>
  <c r="T15" i="3"/>
  <c r="AB15" i="3"/>
  <c r="Z92" i="3"/>
  <c r="Z94" i="3"/>
  <c r="T48" i="3"/>
  <c r="AB48" i="3"/>
  <c r="J53" i="3"/>
  <c r="H91" i="3"/>
  <c r="J91" i="3"/>
  <c r="T70" i="3"/>
  <c r="AB70" i="3"/>
  <c r="AA63" i="3"/>
  <c r="AB63" i="3"/>
  <c r="H41" i="3"/>
  <c r="G41" i="3"/>
  <c r="X92" i="3"/>
  <c r="X94" i="3"/>
  <c r="AB36" i="3"/>
  <c r="AA53" i="3"/>
  <c r="Y91" i="3"/>
  <c r="Y92" i="3"/>
  <c r="Y94" i="3"/>
  <c r="T29" i="3"/>
  <c r="AB29" i="3"/>
  <c r="G53" i="3"/>
  <c r="C91" i="3"/>
  <c r="G91" i="3"/>
  <c r="M53" i="3"/>
  <c r="K91" i="3"/>
  <c r="M91" i="3"/>
  <c r="T10" i="3"/>
  <c r="AB9" i="3"/>
  <c r="B42" i="3"/>
  <c r="V42" i="3"/>
  <c r="L41" i="3"/>
  <c r="L42" i="3"/>
  <c r="L92" i="3"/>
  <c r="L94" i="3"/>
  <c r="T26" i="3"/>
  <c r="AB26" i="3"/>
  <c r="AA75" i="3"/>
  <c r="T96" i="6"/>
  <c r="CA43" i="6"/>
  <c r="G42" i="3"/>
  <c r="BG20" i="6"/>
  <c r="CE20" i="6"/>
  <c r="CG20" i="6"/>
  <c r="BI26" i="6"/>
  <c r="CF11" i="6"/>
  <c r="BI73" i="6"/>
  <c r="CD93" i="6"/>
  <c r="CF56" i="6"/>
  <c r="CG48" i="6"/>
  <c r="BU98" i="6"/>
  <c r="BU96" i="6"/>
  <c r="CG73" i="6"/>
  <c r="M44" i="6"/>
  <c r="AH31" i="6"/>
  <c r="AF43" i="6"/>
  <c r="AQ31" i="6"/>
  <c r="AO43" i="6"/>
  <c r="AL31" i="6"/>
  <c r="AN31" i="6"/>
  <c r="AE56" i="6"/>
  <c r="BG27" i="6"/>
  <c r="CF78" i="6"/>
  <c r="BL43" i="6"/>
  <c r="BJ44" i="6"/>
  <c r="BL44" i="6"/>
  <c r="CG54" i="6"/>
  <c r="Y31" i="6"/>
  <c r="W43" i="6"/>
  <c r="AC43" i="6"/>
  <c r="AE43" i="6"/>
  <c r="AN20" i="6"/>
  <c r="CC95" i="6"/>
  <c r="BQ96" i="6"/>
  <c r="BQ98" i="6"/>
  <c r="CA95" i="6"/>
  <c r="AW31" i="6"/>
  <c r="AU43" i="6"/>
  <c r="AM43" i="6"/>
  <c r="AG44" i="6"/>
  <c r="AA41" i="3"/>
  <c r="AA91" i="3"/>
  <c r="M41" i="3"/>
  <c r="BF95" i="6"/>
  <c r="BD96" i="6"/>
  <c r="S66" i="6"/>
  <c r="BG66" i="6"/>
  <c r="CE35" i="6"/>
  <c r="CG35" i="6"/>
  <c r="BI35" i="6"/>
  <c r="BP44" i="6"/>
  <c r="BR43" i="6"/>
  <c r="P44" i="6"/>
  <c r="N96" i="6"/>
  <c r="J95" i="6"/>
  <c r="H96" i="6"/>
  <c r="BM96" i="6"/>
  <c r="BG56" i="6"/>
  <c r="S56" i="6"/>
  <c r="AE31" i="6"/>
  <c r="BG31" i="6"/>
  <c r="CE82" i="6"/>
  <c r="CG82" i="6"/>
  <c r="BI82" i="6"/>
  <c r="AD95" i="6"/>
  <c r="BH95" i="6"/>
  <c r="U96" i="6"/>
  <c r="BJ96" i="6"/>
  <c r="BL95" i="6"/>
  <c r="BF44" i="6"/>
  <c r="BE96" i="6"/>
  <c r="BE98" i="6"/>
  <c r="K98" i="6"/>
  <c r="M98" i="6"/>
  <c r="M96" i="6"/>
  <c r="R43" i="6"/>
  <c r="BH43" i="6"/>
  <c r="F44" i="6"/>
  <c r="G44" i="6"/>
  <c r="BI20" i="6"/>
  <c r="BX43" i="6"/>
  <c r="BV44" i="6"/>
  <c r="CE70" i="6"/>
  <c r="CG70" i="6"/>
  <c r="BI70" i="6"/>
  <c r="V95" i="6"/>
  <c r="AD44" i="6"/>
  <c r="X96" i="6"/>
  <c r="X98" i="6"/>
  <c r="G95" i="6"/>
  <c r="Q95" i="6"/>
  <c r="AK44" i="6"/>
  <c r="AI96" i="6"/>
  <c r="BI50" i="6"/>
  <c r="CE50" i="6"/>
  <c r="CG50" i="6"/>
  <c r="CE78" i="6"/>
  <c r="BI78" i="6"/>
  <c r="BI89" i="6"/>
  <c r="CE89" i="6"/>
  <c r="CG89" i="6"/>
  <c r="G43" i="6"/>
  <c r="BI53" i="6"/>
  <c r="CE53" i="6"/>
  <c r="CG53" i="6"/>
  <c r="CE11" i="6"/>
  <c r="BI11" i="6"/>
  <c r="BI51" i="6"/>
  <c r="CE51" i="6"/>
  <c r="CG51" i="6"/>
  <c r="D43" i="6"/>
  <c r="C44" i="6"/>
  <c r="BI91" i="6"/>
  <c r="CE91" i="6"/>
  <c r="CG91" i="6"/>
  <c r="BC44" i="6"/>
  <c r="BA96" i="6"/>
  <c r="AB43" i="6"/>
  <c r="Z44" i="6"/>
  <c r="CA44" i="6"/>
  <c r="BY96" i="6"/>
  <c r="AQ95" i="6"/>
  <c r="BH31" i="6"/>
  <c r="CF31" i="6"/>
  <c r="AT44" i="6"/>
  <c r="AR96" i="6"/>
  <c r="CE77" i="6"/>
  <c r="CG77" i="6"/>
  <c r="BI77" i="6"/>
  <c r="T98" i="6"/>
  <c r="BI19" i="6"/>
  <c r="CE19" i="6"/>
  <c r="CG19" i="6"/>
  <c r="BI63" i="6"/>
  <c r="CE63" i="6"/>
  <c r="CG63" i="6"/>
  <c r="BI16" i="6"/>
  <c r="CE16" i="6"/>
  <c r="CG16" i="6"/>
  <c r="S93" i="6"/>
  <c r="BG93" i="6"/>
  <c r="CG65" i="6"/>
  <c r="Q44" i="6"/>
  <c r="E96" i="6"/>
  <c r="AH95" i="6"/>
  <c r="AL95" i="6"/>
  <c r="AN95" i="6"/>
  <c r="AZ43" i="6"/>
  <c r="AX44" i="6"/>
  <c r="CD11" i="6"/>
  <c r="CB95" i="6"/>
  <c r="BR95" i="6"/>
  <c r="CB43" i="6"/>
  <c r="BI65" i="6"/>
  <c r="BI54" i="6"/>
  <c r="BI41" i="6"/>
  <c r="CE41" i="6"/>
  <c r="CG41" i="6"/>
  <c r="BZ96" i="6"/>
  <c r="BZ98" i="6"/>
  <c r="CC43" i="6"/>
  <c r="BN44" i="6"/>
  <c r="BI92" i="6"/>
  <c r="CE92" i="6"/>
  <c r="CG92" i="6"/>
  <c r="CE76" i="6"/>
  <c r="CG76" i="6"/>
  <c r="BI76" i="6"/>
  <c r="D43" i="5"/>
  <c r="B44" i="5"/>
  <c r="B92" i="3"/>
  <c r="M42" i="3"/>
  <c r="K92" i="3"/>
  <c r="AA42" i="3"/>
  <c r="V92" i="3"/>
  <c r="T91" i="3"/>
  <c r="H42" i="3"/>
  <c r="J41" i="3"/>
  <c r="AB10" i="3"/>
  <c r="T53" i="3"/>
  <c r="AB53" i="3"/>
  <c r="C92" i="3"/>
  <c r="AB75" i="3"/>
  <c r="AB91" i="3"/>
  <c r="T41" i="3"/>
  <c r="CG11" i="6"/>
  <c r="S43" i="6"/>
  <c r="CD95" i="6"/>
  <c r="CF95" i="6"/>
  <c r="CG78" i="6"/>
  <c r="AO44" i="6"/>
  <c r="AQ43" i="6"/>
  <c r="AW43" i="6"/>
  <c r="AU44" i="6"/>
  <c r="BI27" i="6"/>
  <c r="CE27" i="6"/>
  <c r="CG27" i="6"/>
  <c r="AL43" i="6"/>
  <c r="AF44" i="6"/>
  <c r="AH43" i="6"/>
  <c r="AE95" i="6"/>
  <c r="AM44" i="6"/>
  <c r="AG96" i="6"/>
  <c r="W44" i="6"/>
  <c r="AC44" i="6"/>
  <c r="AE44" i="6"/>
  <c r="Y43" i="6"/>
  <c r="AB41" i="3"/>
  <c r="C96" i="6"/>
  <c r="D44" i="6"/>
  <c r="AD96" i="6"/>
  <c r="U98" i="6"/>
  <c r="AD98" i="6"/>
  <c r="CC44" i="6"/>
  <c r="BN96" i="6"/>
  <c r="BO96" i="6"/>
  <c r="AZ44" i="6"/>
  <c r="AX96" i="6"/>
  <c r="Q96" i="6"/>
  <c r="E98" i="6"/>
  <c r="CE93" i="6"/>
  <c r="CG93" i="6"/>
  <c r="BI93" i="6"/>
  <c r="BJ98" i="6"/>
  <c r="BL98" i="6"/>
  <c r="BL96" i="6"/>
  <c r="BI56" i="6"/>
  <c r="CE56" i="6"/>
  <c r="CG56" i="6"/>
  <c r="J96" i="6"/>
  <c r="H98" i="6"/>
  <c r="J98" i="6"/>
  <c r="BI66" i="6"/>
  <c r="CE66" i="6"/>
  <c r="CG66" i="6"/>
  <c r="AI98" i="6"/>
  <c r="AK98" i="6"/>
  <c r="AK96" i="6"/>
  <c r="BM98" i="6"/>
  <c r="V96" i="6"/>
  <c r="CA96" i="6"/>
  <c r="BY98" i="6"/>
  <c r="CA98" i="6"/>
  <c r="AB44" i="6"/>
  <c r="Z96" i="6"/>
  <c r="CF43" i="6"/>
  <c r="BO44" i="6"/>
  <c r="N98" i="6"/>
  <c r="P98" i="6"/>
  <c r="P96" i="6"/>
  <c r="BF96" i="6"/>
  <c r="BD98" i="6"/>
  <c r="BF98" i="6"/>
  <c r="AT96" i="6"/>
  <c r="AR98" i="6"/>
  <c r="AT98" i="6"/>
  <c r="BC96" i="6"/>
  <c r="BA98" i="6"/>
  <c r="BC98" i="6"/>
  <c r="BX44" i="6"/>
  <c r="BV96" i="6"/>
  <c r="R44" i="6"/>
  <c r="F96" i="6"/>
  <c r="G96" i="6"/>
  <c r="CE31" i="6"/>
  <c r="CG31" i="6"/>
  <c r="BI31" i="6"/>
  <c r="BR44" i="6"/>
  <c r="BP96" i="6"/>
  <c r="CD43" i="6"/>
  <c r="S95" i="6"/>
  <c r="BG95" i="6"/>
  <c r="CB44" i="6"/>
  <c r="B96" i="5"/>
  <c r="D44" i="5"/>
  <c r="G92" i="3"/>
  <c r="C94" i="3"/>
  <c r="G94" i="3"/>
  <c r="H92" i="3"/>
  <c r="J42" i="3"/>
  <c r="T42" i="3"/>
  <c r="AB42" i="3"/>
  <c r="M92" i="3"/>
  <c r="K94" i="3"/>
  <c r="M94" i="3"/>
  <c r="V94" i="3"/>
  <c r="AA94" i="3"/>
  <c r="AA92" i="3"/>
  <c r="B94" i="3"/>
  <c r="BH44" i="6"/>
  <c r="CF44" i="6"/>
  <c r="AW44" i="6"/>
  <c r="AU96" i="6"/>
  <c r="AN43" i="6"/>
  <c r="BG43" i="6"/>
  <c r="AL44" i="6"/>
  <c r="AN44" i="6"/>
  <c r="AH44" i="6"/>
  <c r="AF96" i="6"/>
  <c r="AG98" i="6"/>
  <c r="AM98" i="6"/>
  <c r="AM96" i="6"/>
  <c r="W96" i="6"/>
  <c r="AC96" i="6"/>
  <c r="AE96" i="6"/>
  <c r="Y44" i="6"/>
  <c r="AQ44" i="6"/>
  <c r="AO96" i="6"/>
  <c r="V98" i="6"/>
  <c r="CE95" i="6"/>
  <c r="CG95" i="6"/>
  <c r="BI95" i="6"/>
  <c r="Q98" i="6"/>
  <c r="BR96" i="6"/>
  <c r="BP98" i="6"/>
  <c r="BR98" i="6"/>
  <c r="R96" i="6"/>
  <c r="S96" i="6"/>
  <c r="F98" i="6"/>
  <c r="R98" i="6"/>
  <c r="S44" i="6"/>
  <c r="BN98" i="6"/>
  <c r="CC98" i="6"/>
  <c r="CC96" i="6"/>
  <c r="C98" i="6"/>
  <c r="D96" i="6"/>
  <c r="Z98" i="6"/>
  <c r="AB96" i="6"/>
  <c r="CD44" i="6"/>
  <c r="BV98" i="6"/>
  <c r="BX98" i="6"/>
  <c r="BX96" i="6"/>
  <c r="CB96" i="6"/>
  <c r="CD96" i="6"/>
  <c r="AX98" i="6"/>
  <c r="AZ98" i="6"/>
  <c r="AZ96" i="6"/>
  <c r="B98" i="5"/>
  <c r="D98" i="5"/>
  <c r="D96" i="5"/>
  <c r="J92" i="3"/>
  <c r="T92" i="3"/>
  <c r="AB92" i="3"/>
  <c r="H94" i="3"/>
  <c r="J94" i="3"/>
  <c r="T94" i="3"/>
  <c r="AB94" i="3"/>
  <c r="BG44" i="6"/>
  <c r="BI44" i="6"/>
  <c r="AL96" i="6"/>
  <c r="AN96" i="6"/>
  <c r="AF98" i="6"/>
  <c r="AH96" i="6"/>
  <c r="CE43" i="6"/>
  <c r="CG43" i="6"/>
  <c r="BI43" i="6"/>
  <c r="W98" i="6"/>
  <c r="Y98" i="6"/>
  <c r="Y96" i="6"/>
  <c r="AU98" i="6"/>
  <c r="AW98" i="6"/>
  <c r="AW96" i="6"/>
  <c r="G98" i="6"/>
  <c r="AQ96" i="6"/>
  <c r="AO98" i="6"/>
  <c r="AQ98" i="6"/>
  <c r="BH96" i="6"/>
  <c r="CF96" i="6"/>
  <c r="BH98" i="6"/>
  <c r="CF98" i="6"/>
  <c r="D98" i="6"/>
  <c r="AB98" i="6"/>
  <c r="CB98" i="6"/>
  <c r="CD98" i="6"/>
  <c r="S98" i="6"/>
  <c r="BO98" i="6"/>
  <c r="CE44" i="6"/>
  <c r="CG44" i="6"/>
  <c r="AC98" i="6"/>
  <c r="AE98" i="6"/>
  <c r="BG96" i="6"/>
  <c r="CE96" i="6"/>
  <c r="CG96" i="6"/>
  <c r="AH98" i="6"/>
  <c r="AL98" i="6"/>
  <c r="AN98" i="6"/>
  <c r="BI96" i="6"/>
  <c r="BG98" i="6"/>
  <c r="CE98" i="6"/>
  <c r="CG98" i="6"/>
  <c r="BI98" i="6"/>
</calcChain>
</file>

<file path=xl/sharedStrings.xml><?xml version="1.0" encoding="utf-8"?>
<sst xmlns="http://schemas.openxmlformats.org/spreadsheetml/2006/main" count="414" uniqueCount="146">
  <si>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</si>
  <si>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</si>
  <si>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</si>
  <si>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</si>
  <si>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</si>
  <si>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   1010 Union Bank Checking</t>
  </si>
  <si>
    <t xml:space="preserve">            1040 PayPal (2020 Mom)</t>
  </si>
  <si>
    <t xml:space="preserve">         Total 1000 Cash</t>
  </si>
  <si>
    <t xml:space="preserve">      Total Bank Accounts</t>
  </si>
  <si>
    <t xml:space="preserve">      Accounts Receivable</t>
  </si>
  <si>
    <t xml:space="preserve">         1100 Accounts/contributions receivable</t>
  </si>
  <si>
    <t xml:space="preserve">      Total Accounts Receivable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</si>
  <si>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</si>
  <si>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</si>
  <si>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</si>
  <si>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</si>
  <si>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</si>
  <si>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</si>
  <si>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Accounts Payable</t>
  </si>
  <si>
    <t xml:space="preserve">         Total Accounts Payable</t>
  </si>
  <si>
    <t xml:space="preserve">         Credit Cards</t>
  </si>
  <si>
    <t xml:space="preserve">            2100a First Bank Credit Card</t>
  </si>
  <si>
    <t xml:space="preserve">         Total Credit Cards</t>
  </si>
  <si>
    <t xml:space="preserve">      Total Current Liabilities</t>
  </si>
  <si>
    <t xml:space="preserve">   Total Liabilities</t>
  </si>
  <si>
    <t xml:space="preserve">   Equity</t>
  </si>
  <si>
    <t xml:space="preserve">      3000 Unrestricted net assets</t>
  </si>
  <si>
    <t xml:space="preserve">      Retained Earnings</t>
  </si>
  <si>
    <t xml:space="preserve">      Net Revenue</t>
  </si>
  <si>
    <t xml:space="preserve">   Total Equity</t>
  </si>
  <si>
    <t>TOTAL LIABILITIES AND EQUITY</t>
  </si>
  <si>
    <t>2020 Mom Project</t>
  </si>
  <si>
    <t>Statement of Financial Position</t>
  </si>
  <si>
    <t>As of September 30, 2016</t>
  </si>
  <si>
    <t>Net Revenue</t>
  </si>
  <si>
    <t>Net Operating Revenue</t>
  </si>
  <si>
    <t>Total Expenditures</t>
  </si>
  <si>
    <t xml:space="preserve">   Total 8500 Other expenses</t>
  </si>
  <si>
    <t xml:space="preserve">      8590 Other expenses</t>
  </si>
  <si>
    <t xml:space="preserve">      8570 Advertising expenses</t>
  </si>
  <si>
    <t xml:space="preserve">      8560 Processing fees</t>
  </si>
  <si>
    <t xml:space="preserve">      8550 Bank fees</t>
  </si>
  <si>
    <t xml:space="preserve">      8540 Staff development/Training</t>
  </si>
  <si>
    <t xml:space="preserve">      8530 Membership dues - organization</t>
  </si>
  <si>
    <t xml:space="preserve">      8510 Interest expense - general</t>
  </si>
  <si>
    <t xml:space="preserve">   8500 Other expenses</t>
  </si>
  <si>
    <t xml:space="preserve">   Total 8400 Other client specific expenses</t>
  </si>
  <si>
    <t xml:space="preserve">      8410 Speaker Travel/Fees</t>
  </si>
  <si>
    <t xml:space="preserve">   8400 Other client specific expenses</t>
  </si>
  <si>
    <t xml:space="preserve">   Total 8300 Travel &amp; meetings expenses</t>
  </si>
  <si>
    <t xml:space="preserve">      8350 Conferences, conventions, meetings</t>
  </si>
  <si>
    <t xml:space="preserve">      8340 Airfare</t>
  </si>
  <si>
    <t xml:space="preserve">      8330 Lodging</t>
  </si>
  <si>
    <t xml:space="preserve">      8320 Meals</t>
  </si>
  <si>
    <t xml:space="preserve">      8310 Transportation</t>
  </si>
  <si>
    <t xml:space="preserve">   8300 Travel &amp; meetings expenses</t>
  </si>
  <si>
    <t xml:space="preserve">   Total 8200 Facility &amp; equipment expenses</t>
  </si>
  <si>
    <t xml:space="preserve">      8260 Equipment rental &amp; maintenance</t>
  </si>
  <si>
    <t xml:space="preserve">   8200 Facility &amp; equipment expenses</t>
  </si>
  <si>
    <t xml:space="preserve">   Total 8100 Nonpersonnel expenses</t>
  </si>
  <si>
    <t xml:space="preserve">      8190 Internet/Web/Hosting Fees</t>
  </si>
  <si>
    <t xml:space="preserve">      8180 Books, subscriptions, references</t>
  </si>
  <si>
    <t xml:space="preserve">      8170 Printing &amp; copying</t>
  </si>
  <si>
    <t xml:space="preserve">      8160 Computer Hardware</t>
  </si>
  <si>
    <t xml:space="preserve">      8150 Computer Software</t>
  </si>
  <si>
    <t xml:space="preserve">      8140 Postage &amp; shipping</t>
  </si>
  <si>
    <t xml:space="preserve">      8110 Supplies</t>
  </si>
  <si>
    <t xml:space="preserve">   8100 Nonpersonnel expenses</t>
  </si>
  <si>
    <t xml:space="preserve">   Total 7500 Contract service expenses</t>
  </si>
  <si>
    <t xml:space="preserve">      7580 Temporary help - contract</t>
  </si>
  <si>
    <t xml:space="preserve">      7570 Professional fees - other</t>
  </si>
  <si>
    <t xml:space="preserve">      7560 Public Relations</t>
  </si>
  <si>
    <t xml:space="preserve">      7550 Graphic/Web Design Fees</t>
  </si>
  <si>
    <t xml:space="preserve">      7540 Consulting Fees</t>
  </si>
  <si>
    <t xml:space="preserve">      7520 Accounting fees</t>
  </si>
  <si>
    <t xml:space="preserve">   7500 Contract service expenses</t>
  </si>
  <si>
    <t>Expenditures</t>
  </si>
  <si>
    <t>Gross Profit</t>
  </si>
  <si>
    <t>Total Revenue</t>
  </si>
  <si>
    <t xml:space="preserve">   Total 5800 Special events</t>
  </si>
  <si>
    <t xml:space="preserve">      5840 Special events- auction income</t>
  </si>
  <si>
    <t xml:space="preserve">      5830 Special events - direct costs</t>
  </si>
  <si>
    <t xml:space="preserve">      5810 Special events - non-gift revenue</t>
  </si>
  <si>
    <t xml:space="preserve">   5800 Special events</t>
  </si>
  <si>
    <t xml:space="preserve">   Total 5400 Revenue from other sources</t>
  </si>
  <si>
    <t xml:space="preserve">      5490 Misc revenue</t>
  </si>
  <si>
    <t xml:space="preserve">   5400 Revenue from other sources</t>
  </si>
  <si>
    <t xml:space="preserve">   Total 5100 Revenue from program-related sales &amp; fees</t>
  </si>
  <si>
    <t xml:space="preserve">      5190 Membership Dues</t>
  </si>
  <si>
    <t xml:space="preserve">      Total 5180 Program service fees</t>
  </si>
  <si>
    <t xml:space="preserve">         Webinar training revenue</t>
  </si>
  <si>
    <t xml:space="preserve">         Toolkit Revenue</t>
  </si>
  <si>
    <t xml:space="preserve">         Forum revenue</t>
  </si>
  <si>
    <t xml:space="preserve">      5180 Program service fees</t>
  </si>
  <si>
    <t xml:space="preserve">   5100 Revenue from program-related sales &amp; fees</t>
  </si>
  <si>
    <t xml:space="preserve">   Total 4200 Revenue from non-government grants</t>
  </si>
  <si>
    <t xml:space="preserve">      4230 Foundation grants</t>
  </si>
  <si>
    <t xml:space="preserve">   4200 Revenue from non-government grants</t>
  </si>
  <si>
    <t xml:space="preserve">   Total 4100 Donated goods &amp; services revenue</t>
  </si>
  <si>
    <t xml:space="preserve">      4110 Donated professional services</t>
  </si>
  <si>
    <t xml:space="preserve">   4100 Donated goods &amp; services revenue</t>
  </si>
  <si>
    <t xml:space="preserve">   Total 4000 Revenue from direct contributions</t>
  </si>
  <si>
    <t xml:space="preserve">      4020 Corporate contributions</t>
  </si>
  <si>
    <t xml:space="preserve">      4010 Individual contributions</t>
  </si>
  <si>
    <t xml:space="preserve">   4000 Revenue from direct contributions</t>
  </si>
  <si>
    <t>Revenue</t>
  </si>
  <si>
    <t>October 2015 - September 2016</t>
  </si>
  <si>
    <t>TOTAL</t>
  </si>
  <si>
    <t>Total 700 Fundraising</t>
  </si>
  <si>
    <t>704 Noon Years</t>
  </si>
  <si>
    <t>703 General Fundraising</t>
  </si>
  <si>
    <t>702 Annual Forum</t>
  </si>
  <si>
    <t>701 Annual Farm to Table</t>
  </si>
  <si>
    <t>700 Fundraising</t>
  </si>
  <si>
    <t>600 Administrative Department</t>
  </si>
  <si>
    <t>Total 100 Programs</t>
  </si>
  <si>
    <t>110 General Program</t>
  </si>
  <si>
    <t>108 Networking</t>
  </si>
  <si>
    <t>107 ACTION Project</t>
  </si>
  <si>
    <t>106 Annual Forum</t>
  </si>
  <si>
    <t>105 Stakeholders Meetings</t>
  </si>
  <si>
    <t>104 Speaking Engagements</t>
  </si>
  <si>
    <t>Total 103 Task Force</t>
  </si>
  <si>
    <t>CA TF Dissemination</t>
  </si>
  <si>
    <t>103 Task Force</t>
  </si>
  <si>
    <t>Total 102 Education</t>
  </si>
  <si>
    <t>MMH 1</t>
  </si>
  <si>
    <t>102 Education</t>
  </si>
  <si>
    <t>Total 101 National Coalition</t>
  </si>
  <si>
    <t>101c WFF - Public Relations</t>
  </si>
  <si>
    <t>101b May Campaign</t>
  </si>
  <si>
    <t>101a Lobby Day</t>
  </si>
  <si>
    <t>101 National Coalition</t>
  </si>
  <si>
    <t>100 Programs</t>
  </si>
  <si>
    <t>Statement of Financial Activities By Class</t>
  </si>
  <si>
    <t xml:space="preserve">      8520 Insurance - non-employee related</t>
  </si>
  <si>
    <t xml:space="preserve">      7510 Fundraising fees</t>
  </si>
  <si>
    <t xml:space="preserve">      5195 Inner Circle Memberships</t>
  </si>
  <si>
    <t>over Budget</t>
  </si>
  <si>
    <t>Budget</t>
  </si>
  <si>
    <t>Actual</t>
  </si>
  <si>
    <t>Budget vs. Actuals: FY2016 - FY16 P&amp;L  Classes</t>
  </si>
  <si>
    <t>MMH 2</t>
  </si>
  <si>
    <t xml:space="preserve">Budget vs. Actuals: FY2016 - FY16 P&amp;L  </t>
  </si>
  <si>
    <t>Over Budget</t>
  </si>
  <si>
    <t xml:space="preserve">      7590 Donated 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</si>
</sst>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0\ _€"/>
    <numFmt numFmtId="165" formatCode="_(&quot;$&quot;* #,##0_);_(&quot;$&quot;* \(#,##0\);_(&quot;$&quot;* &quot;-&quot;??_);_(@_)"/>
  </numFmts>
  <fonts count="9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165" fontId="3" fillId="0" borderId="0" xfId="1" applyNumberFormat="1" applyFont="1" applyAlignment="1">
      <alignment wrapText="1"/>
    </xf>
    <xf numFmtId="165" fontId="0" fillId="0" borderId="0" xfId="1" applyNumberFormat="1" applyFont="1"/>
    <xf numFmtId="165" fontId="2" fillId="0" borderId="0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165" fontId="2" fillId="0" borderId="4" xfId="1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5" xfId="0" applyFont="1" applyBorder="1" applyAlignment="1">
      <alignment horizontal="center" wrapText="1"/>
    </xf>
    <xf numFmtId="165" fontId="3" fillId="0" borderId="0" xfId="1" applyNumberFormat="1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3" fillId="0" borderId="11" xfId="1" applyNumberFormat="1" applyFont="1" applyBorder="1" applyAlignment="1">
      <alignment wrapText="1"/>
    </xf>
    <xf numFmtId="165" fontId="3" fillId="0" borderId="12" xfId="1" applyNumberFormat="1" applyFont="1" applyBorder="1" applyAlignment="1">
      <alignment wrapText="1"/>
    </xf>
    <xf numFmtId="165" fontId="3" fillId="0" borderId="11" xfId="1" applyNumberFormat="1" applyFont="1" applyBorder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165" fontId="3" fillId="0" borderId="12" xfId="1" applyNumberFormat="1" applyFont="1" applyBorder="1" applyAlignment="1">
      <alignment horizontal="right" wrapText="1"/>
    </xf>
    <xf numFmtId="165" fontId="2" fillId="0" borderId="13" xfId="1" applyNumberFormat="1" applyFont="1" applyBorder="1" applyAlignment="1">
      <alignment horizontal="right" wrapText="1"/>
    </xf>
    <xf numFmtId="165" fontId="2" fillId="0" borderId="14" xfId="1" applyNumberFormat="1" applyFont="1" applyBorder="1" applyAlignment="1">
      <alignment horizontal="right" wrapText="1"/>
    </xf>
    <xf numFmtId="165" fontId="2" fillId="0" borderId="11" xfId="1" applyNumberFormat="1" applyFont="1" applyBorder="1" applyAlignment="1">
      <alignment horizontal="right" wrapText="1"/>
    </xf>
    <xf numFmtId="165" fontId="2" fillId="0" borderId="12" xfId="1" applyNumberFormat="1" applyFont="1" applyBorder="1" applyAlignment="1">
      <alignment horizontal="right" wrapText="1"/>
    </xf>
    <xf numFmtId="0" fontId="0" fillId="0" borderId="0" xfId="0"/>
    <xf numFmtId="165" fontId="7" fillId="0" borderId="15" xfId="1" applyNumberFormat="1" applyFont="1" applyBorder="1" applyAlignment="1">
      <alignment horizontal="right" wrapText="1"/>
    </xf>
    <xf numFmtId="165" fontId="7" fillId="0" borderId="16" xfId="1" applyNumberFormat="1" applyFont="1" applyBorder="1" applyAlignment="1">
      <alignment horizontal="right" wrapText="1"/>
    </xf>
    <xf numFmtId="165" fontId="7" fillId="0" borderId="17" xfId="1" applyNumberFormat="1" applyFont="1" applyBorder="1" applyAlignment="1">
      <alignment horizontal="right" wrapText="1"/>
    </xf>
    <xf numFmtId="165" fontId="8" fillId="0" borderId="15" xfId="1" applyNumberFormat="1" applyFont="1" applyBorder="1" applyAlignment="1">
      <alignment horizontal="right" wrapText="1"/>
    </xf>
    <xf numFmtId="165" fontId="8" fillId="0" borderId="16" xfId="1" applyNumberFormat="1" applyFont="1" applyBorder="1" applyAlignment="1">
      <alignment horizontal="right" wrapText="1"/>
    </xf>
    <xf numFmtId="165" fontId="8" fillId="0" borderId="17" xfId="1" applyNumberFormat="1" applyFont="1" applyBorder="1" applyAlignment="1">
      <alignment horizontal="right" wrapText="1"/>
    </xf>
    <xf numFmtId="44" fontId="7" fillId="0" borderId="0" xfId="1" applyFont="1" applyAlignment="1">
      <alignment wrapText="1"/>
    </xf>
    <xf numFmtId="165" fontId="7" fillId="0" borderId="0" xfId="1" applyNumberFormat="1" applyFont="1" applyAlignment="1">
      <alignment horizontal="left" wrapText="1"/>
    </xf>
    <xf numFmtId="165" fontId="7" fillId="0" borderId="0" xfId="1" applyNumberFormat="1" applyFont="1"/>
    <xf numFmtId="165" fontId="7" fillId="0" borderId="15" xfId="1" applyNumberFormat="1" applyFont="1" applyBorder="1" applyAlignment="1">
      <alignment wrapText="1"/>
    </xf>
    <xf numFmtId="165" fontId="7" fillId="0" borderId="16" xfId="1" applyNumberFormat="1" applyFont="1" applyBorder="1" applyAlignment="1">
      <alignment wrapText="1"/>
    </xf>
    <xf numFmtId="165" fontId="7" fillId="0" borderId="17" xfId="1" applyNumberFormat="1" applyFont="1" applyBorder="1" applyAlignment="1">
      <alignment wrapText="1"/>
    </xf>
    <xf numFmtId="165" fontId="8" fillId="0" borderId="17" xfId="1" applyNumberFormat="1" applyFont="1" applyBorder="1" applyAlignment="1">
      <alignment wrapText="1"/>
    </xf>
    <xf numFmtId="165" fontId="8" fillId="0" borderId="15" xfId="1" applyNumberFormat="1" applyFont="1" applyBorder="1" applyAlignment="1">
      <alignment wrapText="1"/>
    </xf>
    <xf numFmtId="165" fontId="8" fillId="0" borderId="16" xfId="1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718131</xdr:colOff>
      <xdr:row>1</xdr:row>
      <xdr:rowOff>63824</xdr:rowOff>
    </xdr:from>
    <xdr:ext cx="2406069" cy="436786"/>
    <xdr:sp macro="" textlink="">
      <xdr:nvSpPr>
        <xdr:cNvPr id="2" name="TextBox 1"/>
        <xdr:cNvSpPr txBox="1"/>
      </xdr:nvSpPr>
      <xdr:spPr>
        <a:xfrm rot="10800000" flipH="1" flipV="1">
          <a:off x="8439731" y="292424"/>
          <a:ext cx="2406069" cy="43678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Green = National Coalition Programs</a:t>
          </a:r>
        </a:p>
        <a:p>
          <a:r>
            <a:rPr lang="en-US" sz="1100"/>
            <a:t>Blue =</a:t>
          </a:r>
          <a:r>
            <a:rPr lang="en-US" sz="1100" baseline="0"/>
            <a:t> 2020 Mom Programs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9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baseColWidth="10" defaultColWidth="8.83203125" defaultRowHeight="15" outlineLevelCol="2" x14ac:dyDescent="0.2"/>
  <cols>
    <col min="1" max="1" width="50.6640625" customWidth="1"/>
    <col min="2" max="2" width="12.6640625" customWidth="1" outlineLevel="1"/>
    <col min="3" max="6" width="12.6640625" customWidth="1" outlineLevel="2"/>
    <col min="7" max="7" width="12.6640625" customWidth="1" outlineLevel="1"/>
    <col min="8" max="9" width="12.6640625" customWidth="1" outlineLevel="2"/>
    <col min="10" max="19" width="12.6640625" customWidth="1" outlineLevel="1"/>
    <col min="20" max="21" width="12.6640625" customWidth="1"/>
    <col min="22" max="26" width="12.6640625" customWidth="1" outlineLevel="1"/>
    <col min="27" max="28" width="12.6640625" customWidth="1"/>
  </cols>
  <sheetData>
    <row r="1" spans="1:28" ht="18" x14ac:dyDescent="0.2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8" x14ac:dyDescent="0.2">
      <c r="A2" s="44" t="s">
        <v>134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">
      <c r="A3" s="46" t="s">
        <v>106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5" spans="1:28" ht="37" x14ac:dyDescent="0.2">
      <c r="A5" s="1"/>
      <c r="B5" s="2" t="s">
        <v>133</v>
      </c>
      <c r="C5" s="52" t="s">
        <v>132</v>
      </c>
      <c r="D5" s="52" t="s">
        <v>131</v>
      </c>
      <c r="E5" s="52" t="s">
        <v>130</v>
      </c>
      <c r="F5" s="52" t="s">
        <v>129</v>
      </c>
      <c r="G5" s="52" t="s">
        <v>128</v>
      </c>
      <c r="H5" s="53" t="s">
        <v>127</v>
      </c>
      <c r="I5" s="53" t="s">
        <v>126</v>
      </c>
      <c r="J5" s="53" t="s">
        <v>125</v>
      </c>
      <c r="K5" s="53" t="s">
        <v>124</v>
      </c>
      <c r="L5" s="53" t="s">
        <v>123</v>
      </c>
      <c r="M5" s="53" t="s">
        <v>122</v>
      </c>
      <c r="N5" s="53" t="s">
        <v>121</v>
      </c>
      <c r="O5" s="53" t="s">
        <v>120</v>
      </c>
      <c r="P5" s="53" t="s">
        <v>119</v>
      </c>
      <c r="Q5" s="53" t="s">
        <v>118</v>
      </c>
      <c r="R5" s="53" t="s">
        <v>117</v>
      </c>
      <c r="S5" s="53" t="s">
        <v>116</v>
      </c>
      <c r="T5" s="2" t="s">
        <v>115</v>
      </c>
      <c r="U5" s="2" t="s">
        <v>114</v>
      </c>
      <c r="V5" s="2" t="s">
        <v>113</v>
      </c>
      <c r="W5" s="2" t="s">
        <v>112</v>
      </c>
      <c r="X5" s="2" t="s">
        <v>111</v>
      </c>
      <c r="Y5" s="2" t="s">
        <v>110</v>
      </c>
      <c r="Z5" s="2" t="s">
        <v>109</v>
      </c>
      <c r="AA5" s="2" t="s">
        <v>108</v>
      </c>
      <c r="AB5" s="2" t="s">
        <v>107</v>
      </c>
    </row>
    <row r="6" spans="1:28" x14ac:dyDescent="0.2">
      <c r="A6" s="3" t="s">
        <v>105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3" t="s">
        <v>104</v>
      </c>
      <c r="B7" s="7"/>
      <c r="C7" s="7"/>
      <c r="D7" s="7"/>
      <c r="E7" s="7"/>
      <c r="F7" s="7"/>
      <c r="G7" s="5"/>
      <c r="H7" s="7"/>
      <c r="I7" s="7"/>
      <c r="J7" s="5"/>
      <c r="K7" s="7"/>
      <c r="L7" s="7"/>
      <c r="M7" s="5"/>
      <c r="N7" s="7"/>
      <c r="O7" s="7"/>
      <c r="P7" s="7"/>
      <c r="Q7" s="7"/>
      <c r="R7" s="7"/>
      <c r="S7" s="7"/>
      <c r="T7" s="5"/>
      <c r="U7" s="7"/>
      <c r="V7" s="7"/>
      <c r="W7" s="7"/>
      <c r="X7" s="7"/>
      <c r="Y7" s="7"/>
      <c r="Z7" s="7"/>
      <c r="AA7" s="5"/>
      <c r="AB7" s="5"/>
    </row>
    <row r="8" spans="1:28" x14ac:dyDescent="0.2">
      <c r="A8" s="3" t="s">
        <v>103</v>
      </c>
      <c r="B8" s="7"/>
      <c r="C8" s="5">
        <f>110</f>
        <v>110</v>
      </c>
      <c r="D8" s="5">
        <f>100</f>
        <v>100</v>
      </c>
      <c r="E8" s="7"/>
      <c r="F8" s="7"/>
      <c r="G8" s="5">
        <f>(((C8)+(D8))+(E8))+(F8)</f>
        <v>210</v>
      </c>
      <c r="H8" s="7"/>
      <c r="I8" s="7"/>
      <c r="J8" s="5"/>
      <c r="K8" s="7"/>
      <c r="L8" s="7"/>
      <c r="M8" s="5"/>
      <c r="N8" s="7"/>
      <c r="O8" s="7"/>
      <c r="P8" s="7"/>
      <c r="Q8" s="7"/>
      <c r="R8" s="7"/>
      <c r="S8" s="5">
        <f>20</f>
        <v>20</v>
      </c>
      <c r="T8" s="5">
        <f>(((((((((B8)+(G8))+(J8))+(M8))+(N8))+(O8))+(P8))+(Q8))+(R8))+(S8)</f>
        <v>230</v>
      </c>
      <c r="U8" s="5">
        <f>213.83</f>
        <v>213.83</v>
      </c>
      <c r="V8" s="7"/>
      <c r="W8" s="5">
        <f>2750.61</f>
        <v>2750.61</v>
      </c>
      <c r="X8" s="7"/>
      <c r="Y8" s="5">
        <f>1065.99</f>
        <v>1065.99</v>
      </c>
      <c r="Z8" s="5">
        <f>726</f>
        <v>726</v>
      </c>
      <c r="AA8" s="5">
        <f>((((V8)+(W8))+(X8))+(Y8))+(Z8)</f>
        <v>4542.6000000000004</v>
      </c>
      <c r="AB8" s="5">
        <f>((T8)+(U8))+(AA8)</f>
        <v>4986.43</v>
      </c>
    </row>
    <row r="9" spans="1:28" x14ac:dyDescent="0.2">
      <c r="A9" s="3" t="s">
        <v>102</v>
      </c>
      <c r="B9" s="7"/>
      <c r="C9" s="7"/>
      <c r="D9" s="7"/>
      <c r="E9" s="7"/>
      <c r="F9" s="7"/>
      <c r="G9" s="5"/>
      <c r="H9" s="7"/>
      <c r="I9" s="7"/>
      <c r="J9" s="5"/>
      <c r="K9" s="7"/>
      <c r="L9" s="7"/>
      <c r="M9" s="5"/>
      <c r="N9" s="7"/>
      <c r="O9" s="7"/>
      <c r="P9" s="5">
        <f>10000</f>
        <v>10000</v>
      </c>
      <c r="Q9" s="7"/>
      <c r="R9" s="7"/>
      <c r="S9" s="7"/>
      <c r="T9" s="5">
        <f>(((((((((B9)+(G9))+(J9))+(M9))+(N9))+(O9))+(P9))+(Q9))+(R9))+(S9)</f>
        <v>10000</v>
      </c>
      <c r="U9" s="5">
        <f>5.45</f>
        <v>5.45</v>
      </c>
      <c r="V9" s="7"/>
      <c r="W9" s="5">
        <f>7009.29</f>
        <v>7009.29</v>
      </c>
      <c r="X9" s="7"/>
      <c r="Y9" s="5">
        <f>34.75</f>
        <v>34.75</v>
      </c>
      <c r="Z9" s="7"/>
      <c r="AA9" s="5">
        <f>((((V9)+(W9))+(X9))+(Y9))+(Z9)</f>
        <v>7044.04</v>
      </c>
      <c r="AB9" s="5">
        <f>((T9)+(U9))+(AA9)</f>
        <v>17049.490000000002</v>
      </c>
    </row>
    <row r="10" spans="1:28" x14ac:dyDescent="0.2">
      <c r="A10" s="3" t="s">
        <v>101</v>
      </c>
      <c r="B10" s="6">
        <f>((B7)+(B8))+(B9)</f>
        <v>0</v>
      </c>
      <c r="C10" s="6">
        <f>((C7)+(C8))+(C9)</f>
        <v>110</v>
      </c>
      <c r="D10" s="6">
        <f>((D7)+(D8))+(D9)</f>
        <v>100</v>
      </c>
      <c r="E10" s="6">
        <f>((E7)+(E8))+(E9)</f>
        <v>0</v>
      </c>
      <c r="F10" s="6">
        <f>((F7)+(F8))+(F9)</f>
        <v>0</v>
      </c>
      <c r="G10" s="6">
        <f>(((C10)+(D10))+(E10))+(F10)</f>
        <v>210</v>
      </c>
      <c r="H10" s="6">
        <f>((H7)+(H8))+(H9)</f>
        <v>0</v>
      </c>
      <c r="I10" s="6">
        <f>((I7)+(I8))+(I9)</f>
        <v>0</v>
      </c>
      <c r="J10" s="6">
        <f>(H10)+(I10)</f>
        <v>0</v>
      </c>
      <c r="K10" s="6">
        <f>((K7)+(K8))+(K9)</f>
        <v>0</v>
      </c>
      <c r="L10" s="6">
        <f>((L7)+(L8))+(L9)</f>
        <v>0</v>
      </c>
      <c r="M10" s="6">
        <f>(K10)+(L10)</f>
        <v>0</v>
      </c>
      <c r="N10" s="6">
        <f t="shared" ref="N10:S10" si="0">((N7)+(N8))+(N9)</f>
        <v>0</v>
      </c>
      <c r="O10" s="6">
        <f t="shared" si="0"/>
        <v>0</v>
      </c>
      <c r="P10" s="6">
        <f t="shared" si="0"/>
        <v>10000</v>
      </c>
      <c r="Q10" s="6">
        <f t="shared" si="0"/>
        <v>0</v>
      </c>
      <c r="R10" s="6">
        <f t="shared" si="0"/>
        <v>0</v>
      </c>
      <c r="S10" s="6">
        <f t="shared" si="0"/>
        <v>20</v>
      </c>
      <c r="T10" s="6">
        <f>(((((((((B10)+(G10))+(J10))+(M10))+(N10))+(O10))+(P10))+(Q10))+(R10))+(S10)</f>
        <v>10230</v>
      </c>
      <c r="U10" s="6">
        <f t="shared" ref="U10:Z10" si="1">((U7)+(U8))+(U9)</f>
        <v>219.28</v>
      </c>
      <c r="V10" s="6">
        <f t="shared" si="1"/>
        <v>0</v>
      </c>
      <c r="W10" s="6">
        <f t="shared" si="1"/>
        <v>9759.9</v>
      </c>
      <c r="X10" s="6">
        <f t="shared" si="1"/>
        <v>0</v>
      </c>
      <c r="Y10" s="6">
        <f t="shared" si="1"/>
        <v>1100.74</v>
      </c>
      <c r="Z10" s="6">
        <f t="shared" si="1"/>
        <v>726</v>
      </c>
      <c r="AA10" s="6">
        <f>((((V10)+(W10))+(X10))+(Y10))+(Z10)</f>
        <v>11586.64</v>
      </c>
      <c r="AB10" s="6">
        <f>((T10)+(U10))+(AA10)</f>
        <v>22035.919999999998</v>
      </c>
    </row>
    <row r="11" spans="1:28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2">
      <c r="A12" s="3" t="s">
        <v>100</v>
      </c>
      <c r="B12" s="7"/>
      <c r="C12" s="7"/>
      <c r="D12" s="7"/>
      <c r="E12" s="7"/>
      <c r="F12" s="7"/>
      <c r="G12" s="5"/>
      <c r="H12" s="7"/>
      <c r="I12" s="7"/>
      <c r="J12" s="5"/>
      <c r="K12" s="7"/>
      <c r="L12" s="7"/>
      <c r="M12" s="5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5"/>
      <c r="AB12" s="5"/>
    </row>
    <row r="13" spans="1:28" hidden="1" x14ac:dyDescent="0.2">
      <c r="A13" s="3" t="s">
        <v>99</v>
      </c>
      <c r="B13" s="7"/>
      <c r="C13" s="7"/>
      <c r="D13" s="7"/>
      <c r="E13" s="7"/>
      <c r="F13" s="7"/>
      <c r="G13" s="5"/>
      <c r="H13" s="7"/>
      <c r="I13" s="7"/>
      <c r="J13" s="5"/>
      <c r="K13" s="7"/>
      <c r="L13" s="7"/>
      <c r="M13" s="5"/>
      <c r="N13" s="7"/>
      <c r="O13" s="7"/>
      <c r="P13" s="7"/>
      <c r="Q13" s="7"/>
      <c r="R13" s="7"/>
      <c r="S13" s="7"/>
      <c r="T13" s="5"/>
      <c r="U13" s="7"/>
      <c r="V13" s="7"/>
      <c r="W13" s="5"/>
      <c r="X13" s="7"/>
      <c r="Y13" s="7"/>
      <c r="Z13" s="7"/>
      <c r="AA13" s="5"/>
      <c r="AB13" s="5">
        <f>((T13)+(U13))+(AA13)</f>
        <v>0</v>
      </c>
    </row>
    <row r="14" spans="1:28" x14ac:dyDescent="0.2">
      <c r="A14" s="3" t="s">
        <v>99</v>
      </c>
      <c r="B14" s="7"/>
      <c r="C14" s="7"/>
      <c r="D14" s="7"/>
      <c r="E14" s="7"/>
      <c r="F14" s="7"/>
      <c r="G14" s="5"/>
      <c r="H14" s="7"/>
      <c r="I14" s="7"/>
      <c r="J14" s="5"/>
      <c r="K14" s="7"/>
      <c r="L14" s="7"/>
      <c r="M14" s="5"/>
      <c r="N14" s="7"/>
      <c r="O14" s="7"/>
      <c r="P14" s="7"/>
      <c r="Q14" s="7"/>
      <c r="R14" s="7"/>
      <c r="S14" s="7"/>
      <c r="T14" s="5"/>
      <c r="U14" s="7"/>
      <c r="V14" s="7"/>
      <c r="W14" s="5">
        <f>1250</f>
        <v>1250</v>
      </c>
      <c r="X14" s="7"/>
      <c r="Y14" s="7"/>
      <c r="Z14" s="7"/>
      <c r="AA14" s="5">
        <f>((((V14)+(W14))+(X14))+(Y14))+(Z14)</f>
        <v>1250</v>
      </c>
      <c r="AB14" s="5">
        <f>((T14)+(U14))+(AA14)</f>
        <v>1250</v>
      </c>
    </row>
    <row r="15" spans="1:28" x14ac:dyDescent="0.2">
      <c r="A15" s="3" t="s">
        <v>98</v>
      </c>
      <c r="B15" s="6">
        <f>((B12)+(B13))+(B14)</f>
        <v>0</v>
      </c>
      <c r="C15" s="6">
        <f>((C12)+(C13))+(C14)</f>
        <v>0</v>
      </c>
      <c r="D15" s="6">
        <f>((D12)+(D13))+(D14)</f>
        <v>0</v>
      </c>
      <c r="E15" s="6">
        <f>((E12)+(E13))+(E14)</f>
        <v>0</v>
      </c>
      <c r="F15" s="6">
        <f>((F12)+(F13))+(F14)</f>
        <v>0</v>
      </c>
      <c r="G15" s="6">
        <f>(((C15)+(D15))+(E15))+(F15)</f>
        <v>0</v>
      </c>
      <c r="H15" s="6">
        <f>((H12)+(H13))+(H14)</f>
        <v>0</v>
      </c>
      <c r="I15" s="6">
        <f>((I12)+(I13))+(I14)</f>
        <v>0</v>
      </c>
      <c r="J15" s="6">
        <f>(H15)+(I15)</f>
        <v>0</v>
      </c>
      <c r="K15" s="6">
        <f>((K12)+(K13))+(K14)</f>
        <v>0</v>
      </c>
      <c r="L15" s="6">
        <f>((L12)+(L13))+(L14)</f>
        <v>0</v>
      </c>
      <c r="M15" s="6">
        <f>(K15)+(L15)</f>
        <v>0</v>
      </c>
      <c r="N15" s="6">
        <f t="shared" ref="N15:S15" si="2">((N12)+(N13))+(N14)</f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6">
        <f t="shared" si="2"/>
        <v>0</v>
      </c>
      <c r="S15" s="6">
        <f t="shared" si="2"/>
        <v>0</v>
      </c>
      <c r="T15" s="6">
        <f>(((((((((B15)+(G15))+(J15))+(M15))+(N15))+(O15))+(P15))+(Q15))+(R15))+(S15)</f>
        <v>0</v>
      </c>
      <c r="U15" s="6">
        <f t="shared" ref="U15:Z15" si="3">((U12)+(U13))+(U14)</f>
        <v>0</v>
      </c>
      <c r="V15" s="6">
        <f t="shared" si="3"/>
        <v>0</v>
      </c>
      <c r="W15" s="6">
        <f t="shared" si="3"/>
        <v>1250</v>
      </c>
      <c r="X15" s="6">
        <f t="shared" si="3"/>
        <v>0</v>
      </c>
      <c r="Y15" s="6">
        <f t="shared" si="3"/>
        <v>0</v>
      </c>
      <c r="Z15" s="6">
        <f t="shared" si="3"/>
        <v>0</v>
      </c>
      <c r="AA15" s="6">
        <f>((((V15)+(W15))+(X15))+(Y15))+(Z15)</f>
        <v>1250</v>
      </c>
      <c r="AB15" s="6">
        <f>((T15)+(U15))+(AA15)</f>
        <v>1250</v>
      </c>
    </row>
    <row r="16" spans="1:28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2">
      <c r="A17" s="3" t="s">
        <v>97</v>
      </c>
      <c r="B17" s="7"/>
      <c r="C17" s="7"/>
      <c r="D17" s="7"/>
      <c r="E17" s="7"/>
      <c r="F17" s="7"/>
      <c r="G17" s="5"/>
      <c r="H17" s="7"/>
      <c r="I17" s="7"/>
      <c r="J17" s="5"/>
      <c r="K17" s="7"/>
      <c r="L17" s="7"/>
      <c r="M17" s="5"/>
      <c r="N17" s="7"/>
      <c r="O17" s="7"/>
      <c r="P17" s="7"/>
      <c r="Q17" s="7"/>
      <c r="R17" s="7"/>
      <c r="S17" s="7"/>
      <c r="T17" s="5"/>
      <c r="U17" s="7"/>
      <c r="V17" s="7"/>
      <c r="W17" s="7"/>
      <c r="X17" s="7"/>
      <c r="Y17" s="7"/>
      <c r="Z17" s="7"/>
      <c r="AA17" s="5"/>
      <c r="AB17" s="5"/>
    </row>
    <row r="18" spans="1:28" x14ac:dyDescent="0.2">
      <c r="A18" s="3" t="s">
        <v>96</v>
      </c>
      <c r="B18" s="7"/>
      <c r="C18" s="7"/>
      <c r="D18" s="7"/>
      <c r="E18" s="7"/>
      <c r="F18" s="5">
        <f>40500</f>
        <v>40500</v>
      </c>
      <c r="G18" s="5">
        <f>(((C18)+(D18))+(E18))+(F18)</f>
        <v>40500</v>
      </c>
      <c r="H18" s="7"/>
      <c r="I18" s="7"/>
      <c r="J18" s="5"/>
      <c r="K18" s="7"/>
      <c r="L18" s="7"/>
      <c r="M18" s="5"/>
      <c r="N18" s="7"/>
      <c r="O18" s="7"/>
      <c r="P18" s="5">
        <f>3000</f>
        <v>3000</v>
      </c>
      <c r="Q18" s="5">
        <f>66545</f>
        <v>66545</v>
      </c>
      <c r="R18" s="7"/>
      <c r="S18" s="7"/>
      <c r="T18" s="5">
        <f>(((((((((B18)+(G18))+(J18))+(M18))+(N18))+(O18))+(P18))+(Q18))+(R18))+(S18)</f>
        <v>110045</v>
      </c>
      <c r="U18" s="7"/>
      <c r="V18" s="7"/>
      <c r="W18" s="7"/>
      <c r="X18" s="7"/>
      <c r="Y18" s="7"/>
      <c r="Z18" s="7"/>
      <c r="AA18" s="5"/>
      <c r="AB18" s="5">
        <f>((T18)+(U18))+(AA18)</f>
        <v>110045</v>
      </c>
    </row>
    <row r="19" spans="1:28" x14ac:dyDescent="0.2">
      <c r="A19" s="3" t="s">
        <v>95</v>
      </c>
      <c r="B19" s="6">
        <f>(B17)+(B18)</f>
        <v>0</v>
      </c>
      <c r="C19" s="6">
        <f>(C17)+(C18)</f>
        <v>0</v>
      </c>
      <c r="D19" s="6">
        <f>(D17)+(D18)</f>
        <v>0</v>
      </c>
      <c r="E19" s="6">
        <f>(E17)+(E18)</f>
        <v>0</v>
      </c>
      <c r="F19" s="6">
        <f>(F17)+(F18)</f>
        <v>40500</v>
      </c>
      <c r="G19" s="6">
        <f>(((C19)+(D19))+(E19))+(F19)</f>
        <v>40500</v>
      </c>
      <c r="H19" s="6">
        <f>(H17)+(H18)</f>
        <v>0</v>
      </c>
      <c r="I19" s="6">
        <f>(I17)+(I18)</f>
        <v>0</v>
      </c>
      <c r="J19" s="6">
        <f>(H19)+(I19)</f>
        <v>0</v>
      </c>
      <c r="K19" s="6">
        <f>(K17)+(K18)</f>
        <v>0</v>
      </c>
      <c r="L19" s="6">
        <f>(L17)+(L18)</f>
        <v>0</v>
      </c>
      <c r="M19" s="6">
        <f>(K19)+(L19)</f>
        <v>0</v>
      </c>
      <c r="N19" s="6">
        <f t="shared" ref="N19:S19" si="4">(N17)+(N18)</f>
        <v>0</v>
      </c>
      <c r="O19" s="6">
        <f t="shared" si="4"/>
        <v>0</v>
      </c>
      <c r="P19" s="6">
        <f t="shared" si="4"/>
        <v>3000</v>
      </c>
      <c r="Q19" s="6">
        <f t="shared" si="4"/>
        <v>66545</v>
      </c>
      <c r="R19" s="6">
        <f t="shared" si="4"/>
        <v>0</v>
      </c>
      <c r="S19" s="6">
        <f t="shared" si="4"/>
        <v>0</v>
      </c>
      <c r="T19" s="6">
        <f>(((((((((B19)+(G19))+(J19))+(M19))+(N19))+(O19))+(P19))+(Q19))+(R19))+(S19)</f>
        <v>110045</v>
      </c>
      <c r="U19" s="6">
        <f t="shared" ref="U19:Z19" si="5">(U17)+(U18)</f>
        <v>0</v>
      </c>
      <c r="V19" s="6">
        <f t="shared" si="5"/>
        <v>0</v>
      </c>
      <c r="W19" s="6">
        <f t="shared" si="5"/>
        <v>0</v>
      </c>
      <c r="X19" s="6">
        <f t="shared" si="5"/>
        <v>0</v>
      </c>
      <c r="Y19" s="6">
        <f t="shared" si="5"/>
        <v>0</v>
      </c>
      <c r="Z19" s="6">
        <f t="shared" si="5"/>
        <v>0</v>
      </c>
      <c r="AA19" s="6">
        <f>((((V19)+(W19))+(X19))+(Y19))+(Z19)</f>
        <v>0</v>
      </c>
      <c r="AB19" s="6">
        <f>((T19)+(U19))+(AA19)</f>
        <v>110045</v>
      </c>
    </row>
    <row r="20" spans="1:28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x14ac:dyDescent="0.2">
      <c r="A21" s="3" t="s">
        <v>94</v>
      </c>
      <c r="B21" s="7"/>
      <c r="C21" s="7"/>
      <c r="D21" s="7"/>
      <c r="E21" s="7"/>
      <c r="F21" s="7"/>
      <c r="G21" s="5"/>
      <c r="H21" s="7"/>
      <c r="I21" s="7"/>
      <c r="J21" s="5"/>
      <c r="K21" s="7"/>
      <c r="L21" s="7"/>
      <c r="M21" s="5"/>
      <c r="N21" s="7"/>
      <c r="O21" s="7"/>
      <c r="P21" s="7"/>
      <c r="Q21" s="7"/>
      <c r="R21" s="7"/>
      <c r="S21" s="7"/>
      <c r="T21" s="5"/>
      <c r="U21" s="7"/>
      <c r="V21" s="7"/>
      <c r="W21" s="7"/>
      <c r="X21" s="7"/>
      <c r="Y21" s="7"/>
      <c r="Z21" s="7"/>
      <c r="AA21" s="5"/>
      <c r="AB21" s="5"/>
    </row>
    <row r="22" spans="1:28" x14ac:dyDescent="0.2">
      <c r="A22" s="3" t="s">
        <v>93</v>
      </c>
      <c r="B22" s="7"/>
      <c r="C22" s="7"/>
      <c r="D22" s="7"/>
      <c r="E22" s="7"/>
      <c r="F22" s="7"/>
      <c r="G22" s="5"/>
      <c r="H22" s="7"/>
      <c r="I22" s="7"/>
      <c r="J22" s="5"/>
      <c r="K22" s="5">
        <f>15000</f>
        <v>15000</v>
      </c>
      <c r="L22" s="7"/>
      <c r="M22" s="5">
        <f>(K22)+(L22)</f>
        <v>15000</v>
      </c>
      <c r="N22" s="5">
        <f>750</f>
        <v>750</v>
      </c>
      <c r="O22" s="7"/>
      <c r="P22" s="7"/>
      <c r="Q22" s="7"/>
      <c r="R22" s="7"/>
      <c r="S22" s="7"/>
      <c r="T22" s="5">
        <f>(((((((((B22)+(G22))+(J22))+(M22))+(N22))+(O22))+(P22))+(Q22))+(R22))+(S22)</f>
        <v>15750</v>
      </c>
      <c r="U22" s="7"/>
      <c r="V22" s="7"/>
      <c r="W22" s="7"/>
      <c r="X22" s="7"/>
      <c r="Y22" s="7"/>
      <c r="Z22" s="7"/>
      <c r="AA22" s="5"/>
      <c r="AB22" s="5">
        <f>((T22)+(U22))+(AA22)</f>
        <v>15750</v>
      </c>
    </row>
    <row r="23" spans="1:28" x14ac:dyDescent="0.2">
      <c r="A23" s="3" t="s">
        <v>92</v>
      </c>
      <c r="B23" s="7"/>
      <c r="C23" s="7"/>
      <c r="D23" s="7"/>
      <c r="E23" s="7"/>
      <c r="F23" s="7"/>
      <c r="G23" s="5"/>
      <c r="H23" s="7"/>
      <c r="I23" s="7"/>
      <c r="J23" s="5"/>
      <c r="K23" s="7"/>
      <c r="L23" s="7"/>
      <c r="M23" s="5"/>
      <c r="N23" s="7"/>
      <c r="O23" s="7"/>
      <c r="P23" s="5">
        <f>5919.38</f>
        <v>5919.38</v>
      </c>
      <c r="Q23" s="7"/>
      <c r="R23" s="7"/>
      <c r="S23" s="7"/>
      <c r="T23" s="5">
        <f>(((((((((B23)+(G23))+(J23))+(M23))+(N23))+(O23))+(P23))+(Q23))+(R23))+(S23)</f>
        <v>5919.38</v>
      </c>
      <c r="U23" s="7"/>
      <c r="V23" s="7"/>
      <c r="W23" s="7"/>
      <c r="X23" s="7"/>
      <c r="Y23" s="7"/>
      <c r="Z23" s="7"/>
      <c r="AA23" s="5"/>
      <c r="AB23" s="5">
        <f>((T23)+(U23))+(AA23)</f>
        <v>5919.38</v>
      </c>
    </row>
    <row r="24" spans="1:28" x14ac:dyDescent="0.2">
      <c r="A24" s="3" t="s">
        <v>91</v>
      </c>
      <c r="B24" s="7"/>
      <c r="C24" s="7"/>
      <c r="D24" s="7"/>
      <c r="E24" s="7"/>
      <c r="F24" s="7"/>
      <c r="G24" s="5"/>
      <c r="H24" s="7"/>
      <c r="I24" s="7"/>
      <c r="J24" s="5"/>
      <c r="K24" s="7"/>
      <c r="L24" s="7"/>
      <c r="M24" s="5"/>
      <c r="N24" s="7"/>
      <c r="O24" s="7"/>
      <c r="P24" s="7"/>
      <c r="Q24" s="5">
        <f>700</f>
        <v>700</v>
      </c>
      <c r="R24" s="7"/>
      <c r="S24" s="7"/>
      <c r="T24" s="5">
        <f>(((((((((B24)+(G24))+(J24))+(M24))+(N24))+(O24))+(P24))+(Q24))+(R24))+(S24)</f>
        <v>700</v>
      </c>
      <c r="U24" s="7"/>
      <c r="V24" s="7"/>
      <c r="W24" s="7"/>
      <c r="X24" s="7"/>
      <c r="Y24" s="7"/>
      <c r="Z24" s="7"/>
      <c r="AA24" s="5"/>
      <c r="AB24" s="5">
        <f>((T24)+(U24))+(AA24)</f>
        <v>700</v>
      </c>
    </row>
    <row r="25" spans="1:28" x14ac:dyDescent="0.2">
      <c r="A25" s="3" t="s">
        <v>90</v>
      </c>
      <c r="B25" s="7"/>
      <c r="C25" s="7"/>
      <c r="D25" s="7"/>
      <c r="E25" s="7"/>
      <c r="F25" s="7"/>
      <c r="G25" s="5"/>
      <c r="H25" s="7"/>
      <c r="I25" s="5">
        <f>26766.09</f>
        <v>26766.09</v>
      </c>
      <c r="J25" s="5">
        <f>(H25)+(I25)</f>
        <v>26766.09</v>
      </c>
      <c r="K25" s="7"/>
      <c r="L25" s="7"/>
      <c r="M25" s="5"/>
      <c r="N25" s="7"/>
      <c r="O25" s="7"/>
      <c r="P25" s="7"/>
      <c r="Q25" s="7"/>
      <c r="R25" s="7"/>
      <c r="S25" s="7"/>
      <c r="T25" s="5">
        <f>(((((((((B25)+(G25))+(J25))+(M25))+(N25))+(O25))+(P25))+(Q25))+(R25))+(S25)</f>
        <v>26766.09</v>
      </c>
      <c r="U25" s="7"/>
      <c r="V25" s="7"/>
      <c r="W25" s="7"/>
      <c r="X25" s="7"/>
      <c r="Y25" s="7"/>
      <c r="Z25" s="7"/>
      <c r="AA25" s="5"/>
      <c r="AB25" s="5">
        <f>((T25)+(U25))+(AA25)</f>
        <v>26766.09</v>
      </c>
    </row>
    <row r="26" spans="1:28" x14ac:dyDescent="0.2">
      <c r="A26" s="3" t="s">
        <v>89</v>
      </c>
      <c r="B26" s="6">
        <f>(((B22)+(B23))+(B24))+(B25)</f>
        <v>0</v>
      </c>
      <c r="C26" s="6">
        <f>(((C22)+(C23))+(C24))+(C25)</f>
        <v>0</v>
      </c>
      <c r="D26" s="6">
        <f>(((D22)+(D23))+(D24))+(D25)</f>
        <v>0</v>
      </c>
      <c r="E26" s="6">
        <f>(((E22)+(E23))+(E24))+(E25)</f>
        <v>0</v>
      </c>
      <c r="F26" s="6">
        <f>(((F22)+(F23))+(F24))+(F25)</f>
        <v>0</v>
      </c>
      <c r="G26" s="6">
        <f>(((C26)+(D26))+(E26))+(F26)</f>
        <v>0</v>
      </c>
      <c r="H26" s="6">
        <f>(((H22)+(H23))+(H24))+(H25)</f>
        <v>0</v>
      </c>
      <c r="I26" s="6">
        <f>(((I22)+(I23))+(I24))+(I25)</f>
        <v>26766.09</v>
      </c>
      <c r="J26" s="6">
        <f>(H26)+(I26)</f>
        <v>26766.09</v>
      </c>
      <c r="K26" s="6">
        <f>(((K22)+(K23))+(K24))+(K25)</f>
        <v>15000</v>
      </c>
      <c r="L26" s="6">
        <f>(((L22)+(L23))+(L24))+(L25)</f>
        <v>0</v>
      </c>
      <c r="M26" s="6">
        <f>(K26)+(L26)</f>
        <v>15000</v>
      </c>
      <c r="N26" s="6">
        <f t="shared" ref="N26:S26" si="6">(((N22)+(N23))+(N24))+(N25)</f>
        <v>750</v>
      </c>
      <c r="O26" s="6">
        <f t="shared" si="6"/>
        <v>0</v>
      </c>
      <c r="P26" s="6">
        <f t="shared" si="6"/>
        <v>5919.38</v>
      </c>
      <c r="Q26" s="6">
        <f t="shared" si="6"/>
        <v>700</v>
      </c>
      <c r="R26" s="6">
        <f t="shared" si="6"/>
        <v>0</v>
      </c>
      <c r="S26" s="6">
        <f t="shared" si="6"/>
        <v>0</v>
      </c>
      <c r="T26" s="6">
        <f>(((((((((B26)+(G26))+(J26))+(M26))+(N26))+(O26))+(P26))+(Q26))+(R26))+(S26)</f>
        <v>49135.469999999994</v>
      </c>
      <c r="U26" s="6">
        <f t="shared" ref="U26:Z26" si="7">(((U22)+(U23))+(U24))+(U25)</f>
        <v>0</v>
      </c>
      <c r="V26" s="6">
        <f t="shared" si="7"/>
        <v>0</v>
      </c>
      <c r="W26" s="6">
        <f t="shared" si="7"/>
        <v>0</v>
      </c>
      <c r="X26" s="6">
        <f t="shared" si="7"/>
        <v>0</v>
      </c>
      <c r="Y26" s="6">
        <f t="shared" si="7"/>
        <v>0</v>
      </c>
      <c r="Z26" s="6">
        <f t="shared" si="7"/>
        <v>0</v>
      </c>
      <c r="AA26" s="6">
        <f>((((V26)+(W26))+(X26))+(Y26))+(Z26)</f>
        <v>0</v>
      </c>
      <c r="AB26" s="6">
        <f>((T26)+(U26))+(AA26)</f>
        <v>49135.469999999994</v>
      </c>
    </row>
    <row r="27" spans="1:28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">
      <c r="A28" s="3" t="s">
        <v>88</v>
      </c>
      <c r="B28" s="7"/>
      <c r="C28" s="5">
        <f>2000</f>
        <v>2000</v>
      </c>
      <c r="D28" s="7"/>
      <c r="E28" s="7"/>
      <c r="F28" s="7"/>
      <c r="G28" s="5">
        <f>(((C28)+(D28))+(E28))+(F28)</f>
        <v>2000</v>
      </c>
      <c r="H28" s="7"/>
      <c r="I28" s="7"/>
      <c r="J28" s="5">
        <f>(H28)+(I28)</f>
        <v>0</v>
      </c>
      <c r="K28" s="7"/>
      <c r="L28" s="7"/>
      <c r="M28" s="5">
        <f>(K28)+(L28)</f>
        <v>0</v>
      </c>
      <c r="N28" s="7"/>
      <c r="O28" s="7"/>
      <c r="P28" s="7"/>
      <c r="Q28" s="7"/>
      <c r="R28" s="7"/>
      <c r="S28" s="5">
        <f>213.89</f>
        <v>213.89</v>
      </c>
      <c r="T28" s="5">
        <f>(((((((((B28)+(G28))+(J28))+(M28))+(N28))+(O28))+(P28))+(Q28))+(R28))+(S28)</f>
        <v>2213.89</v>
      </c>
      <c r="U28" s="7"/>
      <c r="V28" s="7"/>
      <c r="W28" s="7"/>
      <c r="X28" s="7"/>
      <c r="Y28" s="7"/>
      <c r="Z28" s="7"/>
      <c r="AA28" s="5"/>
      <c r="AB28" s="5">
        <f>((T28)+(U28))+(AA28)</f>
        <v>2213.89</v>
      </c>
    </row>
    <row r="29" spans="1:28" x14ac:dyDescent="0.2">
      <c r="A29" s="3" t="s">
        <v>87</v>
      </c>
      <c r="B29" s="6">
        <f>((B21)+(B26))+(B28)</f>
        <v>0</v>
      </c>
      <c r="C29" s="6">
        <f>((C21)+(C26))+(C28)</f>
        <v>2000</v>
      </c>
      <c r="D29" s="6">
        <f>((D21)+(D26))+(D28)</f>
        <v>0</v>
      </c>
      <c r="E29" s="6">
        <f>((E21)+(E26))+(E28)</f>
        <v>0</v>
      </c>
      <c r="F29" s="6">
        <f>((F21)+(F26))+(F28)</f>
        <v>0</v>
      </c>
      <c r="G29" s="6">
        <f>(((C29)+(D29))+(E29))+(F29)</f>
        <v>2000</v>
      </c>
      <c r="H29" s="6">
        <f>((H21)+(H26))+(H28)</f>
        <v>0</v>
      </c>
      <c r="I29" s="6">
        <f>((I21)+(I26))+(I28)</f>
        <v>26766.09</v>
      </c>
      <c r="J29" s="6">
        <f>(H29)+(I29)</f>
        <v>26766.09</v>
      </c>
      <c r="K29" s="6">
        <f>((K21)+(K26))+(K28)</f>
        <v>15000</v>
      </c>
      <c r="L29" s="6">
        <f>((L21)+(L26))+(L28)</f>
        <v>0</v>
      </c>
      <c r="M29" s="6">
        <f>(K29)+(L29)</f>
        <v>15000</v>
      </c>
      <c r="N29" s="6">
        <f t="shared" ref="N29:S29" si="8">((N21)+(N26))+(N28)</f>
        <v>750</v>
      </c>
      <c r="O29" s="6">
        <f t="shared" si="8"/>
        <v>0</v>
      </c>
      <c r="P29" s="6">
        <f t="shared" si="8"/>
        <v>5919.38</v>
      </c>
      <c r="Q29" s="6">
        <f t="shared" si="8"/>
        <v>700</v>
      </c>
      <c r="R29" s="6">
        <f t="shared" si="8"/>
        <v>0</v>
      </c>
      <c r="S29" s="6">
        <f t="shared" si="8"/>
        <v>213.89</v>
      </c>
      <c r="T29" s="6">
        <f>(((((((((B29)+(G29))+(J29))+(M29))+(N29))+(O29))+(P29))+(Q29))+(R29))+(S29)</f>
        <v>51349.359999999993</v>
      </c>
      <c r="U29" s="6">
        <f t="shared" ref="U29:Z29" si="9">((U21)+(U26))+(U28)</f>
        <v>0</v>
      </c>
      <c r="V29" s="6">
        <f t="shared" si="9"/>
        <v>0</v>
      </c>
      <c r="W29" s="6">
        <f t="shared" si="9"/>
        <v>0</v>
      </c>
      <c r="X29" s="6">
        <f t="shared" si="9"/>
        <v>0</v>
      </c>
      <c r="Y29" s="6">
        <f t="shared" si="9"/>
        <v>0</v>
      </c>
      <c r="Z29" s="6">
        <f t="shared" si="9"/>
        <v>0</v>
      </c>
      <c r="AA29" s="6">
        <f>((((V29)+(W29))+(X29))+(Y29))+(Z29)</f>
        <v>0</v>
      </c>
      <c r="AB29" s="6">
        <f>((T29)+(U29))+(AA29)</f>
        <v>51349.359999999993</v>
      </c>
    </row>
    <row r="30" spans="1:28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x14ac:dyDescent="0.2">
      <c r="A31" s="3" t="s">
        <v>86</v>
      </c>
      <c r="B31" s="7"/>
      <c r="C31" s="7"/>
      <c r="D31" s="7"/>
      <c r="E31" s="7"/>
      <c r="F31" s="7"/>
      <c r="G31" s="5"/>
      <c r="H31" s="7"/>
      <c r="I31" s="7"/>
      <c r="J31" s="5"/>
      <c r="K31" s="7"/>
      <c r="L31" s="7"/>
      <c r="M31" s="5"/>
      <c r="N31" s="7"/>
      <c r="O31" s="7"/>
      <c r="P31" s="7"/>
      <c r="Q31" s="7"/>
      <c r="R31" s="7"/>
      <c r="S31" s="7"/>
      <c r="T31" s="5"/>
      <c r="U31" s="7"/>
      <c r="V31" s="7"/>
      <c r="W31" s="7"/>
      <c r="X31" s="7"/>
      <c r="Y31" s="7"/>
      <c r="Z31" s="7"/>
      <c r="AA31" s="5"/>
      <c r="AB31" s="5"/>
    </row>
    <row r="32" spans="1:28" x14ac:dyDescent="0.2">
      <c r="A32" s="3" t="s">
        <v>85</v>
      </c>
      <c r="B32" s="7"/>
      <c r="C32" s="7"/>
      <c r="D32" s="7"/>
      <c r="E32" s="7"/>
      <c r="F32" s="7"/>
      <c r="G32" s="5"/>
      <c r="H32" s="7"/>
      <c r="I32" s="5">
        <f>500</f>
        <v>500</v>
      </c>
      <c r="J32" s="5">
        <f>(H32)+(I32)</f>
        <v>500</v>
      </c>
      <c r="K32" s="7"/>
      <c r="L32" s="7"/>
      <c r="M32" s="5"/>
      <c r="N32" s="7"/>
      <c r="O32" s="7"/>
      <c r="P32" s="5">
        <f>322.24</f>
        <v>322.24</v>
      </c>
      <c r="Q32" s="7"/>
      <c r="R32" s="7"/>
      <c r="S32" s="7"/>
      <c r="T32" s="5">
        <f>(((((((((B32)+(G32))+(J32))+(M32))+(N32))+(O32))+(P32))+(Q32))+(R32))+(S32)</f>
        <v>822.24</v>
      </c>
      <c r="U32" s="5">
        <f>265.39</f>
        <v>265.39</v>
      </c>
      <c r="V32" s="7"/>
      <c r="W32" s="7"/>
      <c r="X32" s="7"/>
      <c r="Y32" s="5">
        <f>30.04</f>
        <v>30.04</v>
      </c>
      <c r="Z32" s="7"/>
      <c r="AA32" s="5">
        <f>((((V32)+(W32))+(X32))+(Y32))+(Z32)</f>
        <v>30.04</v>
      </c>
      <c r="AB32" s="5">
        <f>((T32)+(U32))+(AA32)</f>
        <v>1117.67</v>
      </c>
    </row>
    <row r="33" spans="1:28" x14ac:dyDescent="0.2">
      <c r="A33" s="3" t="s">
        <v>84</v>
      </c>
      <c r="B33" s="6">
        <f>(B31)+(B32)</f>
        <v>0</v>
      </c>
      <c r="C33" s="6">
        <f>(C31)+(C32)</f>
        <v>0</v>
      </c>
      <c r="D33" s="6">
        <f>(D31)+(D32)</f>
        <v>0</v>
      </c>
      <c r="E33" s="6">
        <f>(E31)+(E32)</f>
        <v>0</v>
      </c>
      <c r="F33" s="6">
        <f>(F31)+(F32)</f>
        <v>0</v>
      </c>
      <c r="G33" s="6">
        <f>(((C33)+(D33))+(E33))+(F33)</f>
        <v>0</v>
      </c>
      <c r="H33" s="6">
        <f>(H31)+(H32)</f>
        <v>0</v>
      </c>
      <c r="I33" s="6">
        <f>(I31)+(I32)</f>
        <v>500</v>
      </c>
      <c r="J33" s="6">
        <f>(H33)+(I33)</f>
        <v>500</v>
      </c>
      <c r="K33" s="6">
        <f>(K31)+(K32)</f>
        <v>0</v>
      </c>
      <c r="L33" s="6">
        <f>(L31)+(L32)</f>
        <v>0</v>
      </c>
      <c r="M33" s="6">
        <f>(K33)+(L33)</f>
        <v>0</v>
      </c>
      <c r="N33" s="6">
        <f t="shared" ref="N33:S33" si="10">(N31)+(N32)</f>
        <v>0</v>
      </c>
      <c r="O33" s="6">
        <f t="shared" si="10"/>
        <v>0</v>
      </c>
      <c r="P33" s="6">
        <f t="shared" si="10"/>
        <v>322.24</v>
      </c>
      <c r="Q33" s="6">
        <f t="shared" si="10"/>
        <v>0</v>
      </c>
      <c r="R33" s="6">
        <f t="shared" si="10"/>
        <v>0</v>
      </c>
      <c r="S33" s="6">
        <f t="shared" si="10"/>
        <v>0</v>
      </c>
      <c r="T33" s="6">
        <f>(((((((((B33)+(G33))+(J33))+(M33))+(N33))+(O33))+(P33))+(Q33))+(R33))+(S33)</f>
        <v>822.24</v>
      </c>
      <c r="U33" s="6">
        <f t="shared" ref="U33:Z33" si="11">(U31)+(U32)</f>
        <v>265.39</v>
      </c>
      <c r="V33" s="6">
        <f t="shared" si="11"/>
        <v>0</v>
      </c>
      <c r="W33" s="6">
        <f t="shared" si="11"/>
        <v>0</v>
      </c>
      <c r="X33" s="6">
        <f t="shared" si="11"/>
        <v>0</v>
      </c>
      <c r="Y33" s="6">
        <f t="shared" si="11"/>
        <v>30.04</v>
      </c>
      <c r="Z33" s="6">
        <f t="shared" si="11"/>
        <v>0</v>
      </c>
      <c r="AA33" s="6">
        <f>((((V33)+(W33))+(X33))+(Y33))+(Z33)</f>
        <v>30.04</v>
      </c>
      <c r="AB33" s="6">
        <f>((T33)+(U33))+(AA33)</f>
        <v>1117.67</v>
      </c>
    </row>
    <row r="34" spans="1:28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x14ac:dyDescent="0.2">
      <c r="A35" s="3" t="s">
        <v>83</v>
      </c>
      <c r="B35" s="7"/>
      <c r="C35" s="7"/>
      <c r="D35" s="7"/>
      <c r="E35" s="7"/>
      <c r="F35" s="7"/>
      <c r="G35" s="5"/>
      <c r="H35" s="7"/>
      <c r="I35" s="7"/>
      <c r="J35" s="5"/>
      <c r="K35" s="7"/>
      <c r="L35" s="7"/>
      <c r="M35" s="5"/>
      <c r="N35" s="7"/>
      <c r="O35" s="7"/>
      <c r="P35" s="7"/>
      <c r="Q35" s="7"/>
      <c r="R35" s="7"/>
      <c r="S35" s="7"/>
      <c r="T35" s="5"/>
      <c r="U35" s="7"/>
      <c r="V35" s="7"/>
      <c r="W35" s="7"/>
      <c r="X35" s="7"/>
      <c r="Y35" s="7"/>
      <c r="Z35" s="7"/>
      <c r="AA35" s="5"/>
      <c r="AB35" s="5"/>
    </row>
    <row r="36" spans="1:28" x14ac:dyDescent="0.2">
      <c r="A36" s="3" t="s">
        <v>82</v>
      </c>
      <c r="B36" s="7"/>
      <c r="C36" s="7"/>
      <c r="D36" s="5">
        <f>3012.5</f>
        <v>3012.5</v>
      </c>
      <c r="E36" s="7"/>
      <c r="F36" s="7"/>
      <c r="G36" s="5">
        <f>(((C36)+(D36))+(E36))+(F36)</f>
        <v>3012.5</v>
      </c>
      <c r="H36" s="7"/>
      <c r="I36" s="7"/>
      <c r="J36" s="5"/>
      <c r="K36" s="7"/>
      <c r="L36" s="7"/>
      <c r="M36" s="5"/>
      <c r="N36" s="7"/>
      <c r="O36" s="7"/>
      <c r="P36" s="7"/>
      <c r="Q36" s="7"/>
      <c r="R36" s="7"/>
      <c r="S36" s="7"/>
      <c r="T36" s="5">
        <f>(((((((((B36)+(G36))+(J36))+(M36))+(N36))+(O36))+(P36))+(Q36))+(R36))+(S36)</f>
        <v>3012.5</v>
      </c>
      <c r="U36" s="7"/>
      <c r="V36" s="7"/>
      <c r="W36" s="5">
        <f>13324.99</f>
        <v>13324.99</v>
      </c>
      <c r="X36" s="5">
        <f>825</f>
        <v>825</v>
      </c>
      <c r="Y36" s="7"/>
      <c r="Z36" s="5">
        <f>185</f>
        <v>185</v>
      </c>
      <c r="AA36" s="5">
        <f>((((V36)+(W36))+(X36))+(Y36))+(Z36)</f>
        <v>14334.99</v>
      </c>
      <c r="AB36" s="5">
        <f>((T36)+(U36))+(AA36)</f>
        <v>17347.489999999998</v>
      </c>
    </row>
    <row r="37" spans="1:28" x14ac:dyDescent="0.2">
      <c r="A37" s="3" t="s">
        <v>81</v>
      </c>
      <c r="B37" s="7"/>
      <c r="C37" s="7"/>
      <c r="D37" s="7"/>
      <c r="E37" s="7"/>
      <c r="F37" s="7"/>
      <c r="G37" s="5"/>
      <c r="H37" s="7"/>
      <c r="I37" s="7"/>
      <c r="J37" s="5"/>
      <c r="K37" s="7"/>
      <c r="L37" s="7"/>
      <c r="M37" s="5"/>
      <c r="N37" s="7"/>
      <c r="O37" s="7"/>
      <c r="P37" s="5">
        <f>-50</f>
        <v>-50</v>
      </c>
      <c r="Q37" s="7"/>
      <c r="R37" s="7"/>
      <c r="S37" s="7"/>
      <c r="T37" s="5">
        <f>(((((((((B37)+(G37))+(J37))+(M37))+(N37))+(O37))+(P37))+(Q37))+(R37))+(S37)</f>
        <v>-50</v>
      </c>
      <c r="U37" s="7"/>
      <c r="V37" s="7"/>
      <c r="W37" s="5">
        <f>-5500</f>
        <v>-5500</v>
      </c>
      <c r="X37" s="7"/>
      <c r="Y37" s="7"/>
      <c r="Z37" s="7"/>
      <c r="AA37" s="5">
        <f>((((V37)+(W37))+(X37))+(Y37))+(Z37)</f>
        <v>-5500</v>
      </c>
      <c r="AB37" s="5">
        <f>((T37)+(U37))+(AA37)</f>
        <v>-5550</v>
      </c>
    </row>
    <row r="38" spans="1:28" x14ac:dyDescent="0.2">
      <c r="A38" s="3" t="s">
        <v>80</v>
      </c>
      <c r="B38" s="7"/>
      <c r="C38" s="7"/>
      <c r="D38" s="7"/>
      <c r="E38" s="7"/>
      <c r="F38" s="7"/>
      <c r="G38" s="5"/>
      <c r="H38" s="7"/>
      <c r="I38" s="7"/>
      <c r="J38" s="5"/>
      <c r="K38" s="7"/>
      <c r="L38" s="7"/>
      <c r="M38" s="5"/>
      <c r="N38" s="7"/>
      <c r="O38" s="7"/>
      <c r="P38" s="7"/>
      <c r="Q38" s="7"/>
      <c r="R38" s="7"/>
      <c r="S38" s="7"/>
      <c r="T38" s="5"/>
      <c r="U38" s="7"/>
      <c r="V38" s="7"/>
      <c r="W38" s="5">
        <f>9835</f>
        <v>9835</v>
      </c>
      <c r="X38" s="7"/>
      <c r="Y38" s="7"/>
      <c r="Z38" s="7"/>
      <c r="AA38" s="5">
        <f>((((V38)+(W38))+(X38))+(Y38))+(Z38)</f>
        <v>9835</v>
      </c>
      <c r="AB38" s="5">
        <f>((T38)+(U38))+(AA38)</f>
        <v>9835</v>
      </c>
    </row>
    <row r="39" spans="1:28" s="14" customFormat="1" x14ac:dyDescent="0.2">
      <c r="A39" s="13" t="s">
        <v>79</v>
      </c>
      <c r="B39" s="6">
        <f>(((B35)+(B36))+(B37))+(B38)</f>
        <v>0</v>
      </c>
      <c r="C39" s="6">
        <f>(((C35)+(C36))+(C37))+(C38)</f>
        <v>0</v>
      </c>
      <c r="D39" s="6">
        <f>(((D35)+(D36))+(D37))+(D38)</f>
        <v>3012.5</v>
      </c>
      <c r="E39" s="6">
        <f>(((E35)+(E36))+(E37))+(E38)</f>
        <v>0</v>
      </c>
      <c r="F39" s="6">
        <f>(((F35)+(F36))+(F37))+(F38)</f>
        <v>0</v>
      </c>
      <c r="G39" s="6">
        <f>(((C39)+(D39))+(E39))+(F39)</f>
        <v>3012.5</v>
      </c>
      <c r="H39" s="6">
        <f>(((H35)+(H36))+(H37))+(H38)</f>
        <v>0</v>
      </c>
      <c r="I39" s="6">
        <f>(((I35)+(I36))+(I37))+(I38)</f>
        <v>0</v>
      </c>
      <c r="J39" s="6">
        <f>(H39)+(I39)</f>
        <v>0</v>
      </c>
      <c r="K39" s="6">
        <f>(((K35)+(K36))+(K37))+(K38)</f>
        <v>0</v>
      </c>
      <c r="L39" s="6">
        <f>(((L35)+(L36))+(L37))+(L38)</f>
        <v>0</v>
      </c>
      <c r="M39" s="6">
        <f>(K39)+(L39)</f>
        <v>0</v>
      </c>
      <c r="N39" s="6">
        <f t="shared" ref="N39:S39" si="12">(((N35)+(N36))+(N37))+(N38)</f>
        <v>0</v>
      </c>
      <c r="O39" s="6">
        <f t="shared" si="12"/>
        <v>0</v>
      </c>
      <c r="P39" s="6">
        <f t="shared" si="12"/>
        <v>-50</v>
      </c>
      <c r="Q39" s="6">
        <f t="shared" si="12"/>
        <v>0</v>
      </c>
      <c r="R39" s="6">
        <f t="shared" si="12"/>
        <v>0</v>
      </c>
      <c r="S39" s="6">
        <f t="shared" si="12"/>
        <v>0</v>
      </c>
      <c r="T39" s="6">
        <f>(((((((((B39)+(G39))+(J39))+(M39))+(N39))+(O39))+(P39))+(Q39))+(R39))+(S39)</f>
        <v>2962.5</v>
      </c>
      <c r="U39" s="6">
        <f t="shared" ref="U39:Z39" si="13">(((U35)+(U36))+(U37))+(U38)</f>
        <v>0</v>
      </c>
      <c r="V39" s="6">
        <f t="shared" si="13"/>
        <v>0</v>
      </c>
      <c r="W39" s="6">
        <f t="shared" si="13"/>
        <v>17659.989999999998</v>
      </c>
      <c r="X39" s="6">
        <f t="shared" si="13"/>
        <v>825</v>
      </c>
      <c r="Y39" s="6">
        <f t="shared" si="13"/>
        <v>0</v>
      </c>
      <c r="Z39" s="6">
        <f t="shared" si="13"/>
        <v>185</v>
      </c>
      <c r="AA39" s="6">
        <f>((((V39)+(W39))+(X39))+(Y39))+(Z39)</f>
        <v>18669.989999999998</v>
      </c>
      <c r="AB39" s="6">
        <f>((T39)+(U39))+(AA39)</f>
        <v>21632.489999999998</v>
      </c>
    </row>
    <row r="40" spans="1:28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x14ac:dyDescent="0.2">
      <c r="A41" s="3" t="s">
        <v>78</v>
      </c>
      <c r="B41" s="6">
        <f>(((((B10)+(B15))+(B19))+(B29))+(B33))+(B39)</f>
        <v>0</v>
      </c>
      <c r="C41" s="6">
        <f>(((((C10)+(C15))+(C19))+(C29))+(C33))+(C39)</f>
        <v>2110</v>
      </c>
      <c r="D41" s="6">
        <f>(((((D10)+(D15))+(D19))+(D29))+(D33))+(D39)</f>
        <v>3112.5</v>
      </c>
      <c r="E41" s="6">
        <f>(((((E10)+(E15))+(E19))+(E29))+(E33))+(E39)</f>
        <v>0</v>
      </c>
      <c r="F41" s="6">
        <f>(((((F10)+(F15))+(F19))+(F29))+(F33))+(F39)</f>
        <v>40500</v>
      </c>
      <c r="G41" s="6">
        <f>(((C41)+(D41))+(E41))+(F41)</f>
        <v>45722.5</v>
      </c>
      <c r="H41" s="6">
        <f>(((((H10)+(H15))+(H19))+(H29))+(H33))+(H39)</f>
        <v>0</v>
      </c>
      <c r="I41" s="6">
        <f>(((((I10)+(I15))+(I19))+(I29))+(I33))+(I39)</f>
        <v>27266.09</v>
      </c>
      <c r="J41" s="6">
        <f>(H41)+(I41)</f>
        <v>27266.09</v>
      </c>
      <c r="K41" s="6">
        <f>(((((K10)+(K15))+(K19))+(K29))+(K33))+(K39)</f>
        <v>15000</v>
      </c>
      <c r="L41" s="6">
        <f>(((((L10)+(L15))+(L19))+(L29))+(L33))+(L39)</f>
        <v>0</v>
      </c>
      <c r="M41" s="6">
        <f>(K41)+(L41)</f>
        <v>15000</v>
      </c>
      <c r="N41" s="6">
        <f t="shared" ref="N41:S41" si="14">(((((N10)+(N15))+(N19))+(N29))+(N33))+(N39)</f>
        <v>750</v>
      </c>
      <c r="O41" s="6">
        <f t="shared" si="14"/>
        <v>0</v>
      </c>
      <c r="P41" s="6">
        <f t="shared" si="14"/>
        <v>19191.620000000003</v>
      </c>
      <c r="Q41" s="6">
        <f t="shared" si="14"/>
        <v>67245</v>
      </c>
      <c r="R41" s="6">
        <f t="shared" si="14"/>
        <v>0</v>
      </c>
      <c r="S41" s="6">
        <f t="shared" si="14"/>
        <v>233.89</v>
      </c>
      <c r="T41" s="6">
        <f>(((((((((B41)+(G41))+(J41))+(M41))+(N41))+(O41))+(P41))+(Q41))+(R41))+(S41)</f>
        <v>175409.1</v>
      </c>
      <c r="U41" s="6">
        <f t="shared" ref="U41:Z41" si="15">(((((U10)+(U15))+(U19))+(U29))+(U33))+(U39)</f>
        <v>484.66999999999996</v>
      </c>
      <c r="V41" s="6">
        <f t="shared" si="15"/>
        <v>0</v>
      </c>
      <c r="W41" s="6">
        <f t="shared" si="15"/>
        <v>28669.89</v>
      </c>
      <c r="X41" s="6">
        <f t="shared" si="15"/>
        <v>825</v>
      </c>
      <c r="Y41" s="6">
        <f t="shared" si="15"/>
        <v>1130.78</v>
      </c>
      <c r="Z41" s="6">
        <f t="shared" si="15"/>
        <v>911</v>
      </c>
      <c r="AA41" s="6">
        <f>((((V41)+(W41))+(X41))+(Y41))+(Z41)</f>
        <v>31536.67</v>
      </c>
      <c r="AB41" s="6">
        <f>((T41)+(U41))+(AA41)</f>
        <v>207430.44</v>
      </c>
    </row>
    <row r="42" spans="1:28" hidden="1" x14ac:dyDescent="0.2">
      <c r="A42" s="3" t="s">
        <v>77</v>
      </c>
      <c r="B42" s="6">
        <f>(B41)-(0)</f>
        <v>0</v>
      </c>
      <c r="C42" s="6">
        <f>(C41)-(0)</f>
        <v>2110</v>
      </c>
      <c r="D42" s="6">
        <f>(D41)-(0)</f>
        <v>3112.5</v>
      </c>
      <c r="E42" s="6">
        <f>(E41)-(0)</f>
        <v>0</v>
      </c>
      <c r="F42" s="6">
        <f>(F41)-(0)</f>
        <v>40500</v>
      </c>
      <c r="G42" s="6">
        <f>(((C42)+(D42))+(E42))+(F42)</f>
        <v>45722.5</v>
      </c>
      <c r="H42" s="6">
        <f>(H41)-(0)</f>
        <v>0</v>
      </c>
      <c r="I42" s="6">
        <f>(I41)-(0)</f>
        <v>27266.09</v>
      </c>
      <c r="J42" s="6">
        <f>(H42)+(I42)</f>
        <v>27266.09</v>
      </c>
      <c r="K42" s="6">
        <f>(K41)-(0)</f>
        <v>15000</v>
      </c>
      <c r="L42" s="6">
        <f>(L41)-(0)</f>
        <v>0</v>
      </c>
      <c r="M42" s="6">
        <f>(K42)+(L42)</f>
        <v>15000</v>
      </c>
      <c r="N42" s="6">
        <f t="shared" ref="N42:S42" si="16">(N41)-(0)</f>
        <v>750</v>
      </c>
      <c r="O42" s="6">
        <f t="shared" si="16"/>
        <v>0</v>
      </c>
      <c r="P42" s="6">
        <f t="shared" si="16"/>
        <v>19191.620000000003</v>
      </c>
      <c r="Q42" s="6">
        <f t="shared" si="16"/>
        <v>67245</v>
      </c>
      <c r="R42" s="6">
        <f t="shared" si="16"/>
        <v>0</v>
      </c>
      <c r="S42" s="6">
        <f t="shared" si="16"/>
        <v>233.89</v>
      </c>
      <c r="T42" s="6">
        <f>(((((((((B42)+(G42))+(J42))+(M42))+(N42))+(O42))+(P42))+(Q42))+(R42))+(S42)</f>
        <v>175409.1</v>
      </c>
      <c r="U42" s="6">
        <f t="shared" ref="U42:Z42" si="17">(U41)-(0)</f>
        <v>484.66999999999996</v>
      </c>
      <c r="V42" s="6">
        <f t="shared" si="17"/>
        <v>0</v>
      </c>
      <c r="W42" s="6">
        <f t="shared" si="17"/>
        <v>28669.89</v>
      </c>
      <c r="X42" s="6">
        <f t="shared" si="17"/>
        <v>825</v>
      </c>
      <c r="Y42" s="6">
        <f t="shared" si="17"/>
        <v>1130.78</v>
      </c>
      <c r="Z42" s="6">
        <f t="shared" si="17"/>
        <v>911</v>
      </c>
      <c r="AA42" s="6">
        <f>((((V42)+(W42))+(X42))+(Y42))+(Z42)</f>
        <v>31536.67</v>
      </c>
      <c r="AB42" s="6">
        <f>((T42)+(U42))+(AA42)</f>
        <v>207430.44</v>
      </c>
    </row>
    <row r="43" spans="1:28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x14ac:dyDescent="0.2">
      <c r="A44" s="3" t="s">
        <v>76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3" t="s">
        <v>75</v>
      </c>
      <c r="B45" s="7"/>
      <c r="C45" s="7"/>
      <c r="D45" s="7"/>
      <c r="E45" s="7"/>
      <c r="F45" s="7"/>
      <c r="G45" s="5"/>
      <c r="H45" s="7"/>
      <c r="I45" s="7"/>
      <c r="J45" s="5"/>
      <c r="K45" s="7"/>
      <c r="L45" s="7"/>
      <c r="M45" s="5"/>
      <c r="N45" s="7"/>
      <c r="O45" s="7"/>
      <c r="P45" s="7"/>
      <c r="Q45" s="7"/>
      <c r="R45" s="7"/>
      <c r="S45" s="7"/>
      <c r="T45" s="5"/>
      <c r="U45" s="7"/>
      <c r="V45" s="7"/>
      <c r="W45" s="7"/>
      <c r="X45" s="7"/>
      <c r="Y45" s="7"/>
      <c r="Z45" s="7"/>
      <c r="AA45" s="5"/>
      <c r="AB45" s="5"/>
    </row>
    <row r="46" spans="1:28" x14ac:dyDescent="0.2">
      <c r="A46" s="3" t="s">
        <v>74</v>
      </c>
      <c r="B46" s="7"/>
      <c r="C46" s="7"/>
      <c r="D46" s="7"/>
      <c r="E46" s="7"/>
      <c r="F46" s="7"/>
      <c r="G46" s="5"/>
      <c r="H46" s="7"/>
      <c r="I46" s="7"/>
      <c r="J46" s="5"/>
      <c r="K46" s="7"/>
      <c r="L46" s="7"/>
      <c r="M46" s="5"/>
      <c r="N46" s="7"/>
      <c r="O46" s="7"/>
      <c r="P46" s="7"/>
      <c r="Q46" s="7"/>
      <c r="R46" s="7"/>
      <c r="S46" s="7"/>
      <c r="T46" s="5"/>
      <c r="U46" s="5">
        <f>6000.01</f>
        <v>6000.01</v>
      </c>
      <c r="V46" s="7"/>
      <c r="W46" s="7"/>
      <c r="X46" s="7"/>
      <c r="Y46" s="7"/>
      <c r="Z46" s="7"/>
      <c r="AA46" s="5"/>
      <c r="AB46" s="5">
        <f t="shared" ref="AB46:AB53" si="18">((T46)+(U46))+(AA46)</f>
        <v>6000.01</v>
      </c>
    </row>
    <row r="47" spans="1:28" x14ac:dyDescent="0.2">
      <c r="A47" s="3" t="s">
        <v>73</v>
      </c>
      <c r="B47" s="7"/>
      <c r="C47" s="5">
        <f>895.5</f>
        <v>895.5</v>
      </c>
      <c r="D47" s="5">
        <f>565</f>
        <v>565</v>
      </c>
      <c r="E47" s="7"/>
      <c r="F47" s="7"/>
      <c r="G47" s="5">
        <f>(((C47)+(D47))+(E47))+(F47)</f>
        <v>1460.5</v>
      </c>
      <c r="H47" s="5">
        <f>20</f>
        <v>20</v>
      </c>
      <c r="I47" s="5">
        <f>15</f>
        <v>15</v>
      </c>
      <c r="J47" s="5">
        <f>(H47)+(I47)</f>
        <v>35</v>
      </c>
      <c r="K47" s="5">
        <f>3563</f>
        <v>3563</v>
      </c>
      <c r="L47" s="7"/>
      <c r="M47" s="5">
        <f>(K47)+(L47)</f>
        <v>3563</v>
      </c>
      <c r="N47" s="5">
        <f>50</f>
        <v>50</v>
      </c>
      <c r="O47" s="7"/>
      <c r="P47" s="5">
        <f>200</f>
        <v>200</v>
      </c>
      <c r="Q47" s="5">
        <f>55975.5</f>
        <v>55975.5</v>
      </c>
      <c r="R47" s="7"/>
      <c r="S47" s="5">
        <f>1680</f>
        <v>1680</v>
      </c>
      <c r="T47" s="5">
        <f t="shared" ref="T47:T53" si="19">(((((((((B47)+(G47))+(J47))+(M47))+(N47))+(O47))+(P47))+(Q47))+(R47))+(S47)</f>
        <v>62964</v>
      </c>
      <c r="U47" s="5">
        <f>13266.3</f>
        <v>13266.3</v>
      </c>
      <c r="V47" s="5">
        <f>450</f>
        <v>450</v>
      </c>
      <c r="W47" s="5">
        <f>505</f>
        <v>505</v>
      </c>
      <c r="X47" s="7"/>
      <c r="Y47" s="5">
        <f>380</f>
        <v>380</v>
      </c>
      <c r="Z47" s="7"/>
      <c r="AA47" s="5">
        <f>((((V47)+(W47))+(X47))+(Y47))+(Z47)</f>
        <v>1335</v>
      </c>
      <c r="AB47" s="5">
        <f t="shared" si="18"/>
        <v>77565.3</v>
      </c>
    </row>
    <row r="48" spans="1:28" x14ac:dyDescent="0.2">
      <c r="A48" s="3" t="s">
        <v>72</v>
      </c>
      <c r="B48" s="7"/>
      <c r="C48" s="5">
        <f>1080</f>
        <v>1080</v>
      </c>
      <c r="D48" s="5">
        <f>55</f>
        <v>55</v>
      </c>
      <c r="E48" s="5">
        <f>70</f>
        <v>70</v>
      </c>
      <c r="F48" s="7"/>
      <c r="G48" s="5">
        <f>(((C48)+(D48))+(E48))+(F48)</f>
        <v>1205</v>
      </c>
      <c r="H48" s="7"/>
      <c r="I48" s="7"/>
      <c r="J48" s="5"/>
      <c r="K48" s="5">
        <f>260</f>
        <v>260</v>
      </c>
      <c r="L48" s="7"/>
      <c r="M48" s="5">
        <f>(K48)+(L48)</f>
        <v>260</v>
      </c>
      <c r="N48" s="7"/>
      <c r="O48" s="7"/>
      <c r="P48" s="7"/>
      <c r="Q48" s="5">
        <f>200</f>
        <v>200</v>
      </c>
      <c r="R48" s="7"/>
      <c r="S48" s="5">
        <f>165</f>
        <v>165</v>
      </c>
      <c r="T48" s="5">
        <f t="shared" si="19"/>
        <v>1830</v>
      </c>
      <c r="U48" s="5">
        <f>6765</f>
        <v>6765</v>
      </c>
      <c r="V48" s="7"/>
      <c r="W48" s="5">
        <f>1925</f>
        <v>1925</v>
      </c>
      <c r="X48" s="7"/>
      <c r="Y48" s="5">
        <f>215</f>
        <v>215</v>
      </c>
      <c r="Z48" s="7"/>
      <c r="AA48" s="5">
        <f>((((V48)+(W48))+(X48))+(Y48))+(Z48)</f>
        <v>2140</v>
      </c>
      <c r="AB48" s="5">
        <f t="shared" si="18"/>
        <v>10735</v>
      </c>
    </row>
    <row r="49" spans="1:28" x14ac:dyDescent="0.2">
      <c r="A49" s="3" t="s">
        <v>71</v>
      </c>
      <c r="B49" s="7"/>
      <c r="C49" s="5">
        <f>5793.34</f>
        <v>5793.34</v>
      </c>
      <c r="D49" s="7"/>
      <c r="E49" s="7"/>
      <c r="F49" s="5">
        <f>26011.35</f>
        <v>26011.35</v>
      </c>
      <c r="G49" s="5">
        <f>(((C49)+(D49))+(E49))+(F49)</f>
        <v>31804.69</v>
      </c>
      <c r="H49" s="7"/>
      <c r="I49" s="7"/>
      <c r="J49" s="5"/>
      <c r="K49" s="7"/>
      <c r="L49" s="7"/>
      <c r="M49" s="5"/>
      <c r="N49" s="7"/>
      <c r="O49" s="7"/>
      <c r="P49" s="7"/>
      <c r="Q49" s="7"/>
      <c r="R49" s="7"/>
      <c r="S49" s="7"/>
      <c r="T49" s="5">
        <f t="shared" si="19"/>
        <v>31804.69</v>
      </c>
      <c r="U49" s="7"/>
      <c r="V49" s="7"/>
      <c r="W49" s="7"/>
      <c r="X49" s="7"/>
      <c r="Y49" s="7"/>
      <c r="Z49" s="7"/>
      <c r="AA49" s="5"/>
      <c r="AB49" s="5">
        <f t="shared" si="18"/>
        <v>31804.69</v>
      </c>
    </row>
    <row r="50" spans="1:28" x14ac:dyDescent="0.2">
      <c r="A50" s="3" t="s">
        <v>70</v>
      </c>
      <c r="B50" s="7"/>
      <c r="C50" s="5">
        <f>1500</f>
        <v>1500</v>
      </c>
      <c r="D50" s="7"/>
      <c r="E50" s="7"/>
      <c r="F50" s="7"/>
      <c r="G50" s="5">
        <f>(((C50)+(D50))+(E50))+(F50)</f>
        <v>1500</v>
      </c>
      <c r="H50" s="5">
        <f>120</f>
        <v>120</v>
      </c>
      <c r="I50" s="7"/>
      <c r="J50" s="5">
        <f>(H50)+(I50)</f>
        <v>120</v>
      </c>
      <c r="K50" s="7"/>
      <c r="L50" s="7"/>
      <c r="M50" s="5"/>
      <c r="N50" s="7"/>
      <c r="O50" s="7"/>
      <c r="P50" s="5">
        <f>550</f>
        <v>550</v>
      </c>
      <c r="Q50" s="5">
        <f>200</f>
        <v>200</v>
      </c>
      <c r="R50" s="7"/>
      <c r="S50" s="7"/>
      <c r="T50" s="5">
        <f t="shared" si="19"/>
        <v>2370</v>
      </c>
      <c r="U50" s="5">
        <f>4347</f>
        <v>4347</v>
      </c>
      <c r="V50" s="7"/>
      <c r="W50" s="5">
        <f>1400</f>
        <v>1400</v>
      </c>
      <c r="X50" s="7"/>
      <c r="Y50" s="7"/>
      <c r="Z50" s="7"/>
      <c r="AA50" s="5">
        <f>((((V50)+(W50))+(X50))+(Y50))+(Z50)</f>
        <v>1400</v>
      </c>
      <c r="AB50" s="5">
        <f t="shared" si="18"/>
        <v>8117</v>
      </c>
    </row>
    <row r="51" spans="1:28" x14ac:dyDescent="0.2">
      <c r="A51" s="3" t="s">
        <v>69</v>
      </c>
      <c r="B51" s="7"/>
      <c r="C51" s="7"/>
      <c r="D51" s="7"/>
      <c r="E51" s="7"/>
      <c r="F51" s="7"/>
      <c r="G51" s="5"/>
      <c r="H51" s="7"/>
      <c r="I51" s="7"/>
      <c r="J51" s="5"/>
      <c r="K51" s="5">
        <f>850</f>
        <v>850</v>
      </c>
      <c r="L51" s="7"/>
      <c r="M51" s="5">
        <f>(K51)+(L51)</f>
        <v>850</v>
      </c>
      <c r="N51" s="7"/>
      <c r="O51" s="7"/>
      <c r="P51" s="5">
        <f>657</f>
        <v>657</v>
      </c>
      <c r="Q51" s="7"/>
      <c r="R51" s="7"/>
      <c r="S51" s="7"/>
      <c r="T51" s="5">
        <f t="shared" si="19"/>
        <v>1507</v>
      </c>
      <c r="U51" s="5">
        <f>3780</f>
        <v>3780</v>
      </c>
      <c r="V51" s="7"/>
      <c r="W51" s="5">
        <f>900</f>
        <v>900</v>
      </c>
      <c r="X51" s="7"/>
      <c r="Y51" s="7"/>
      <c r="Z51" s="5">
        <f>1314.15</f>
        <v>1314.15</v>
      </c>
      <c r="AA51" s="5">
        <f>((((V51)+(W51))+(X51))+(Y51))+(Z51)</f>
        <v>2214.15</v>
      </c>
      <c r="AB51" s="5">
        <f t="shared" si="18"/>
        <v>7501.15</v>
      </c>
    </row>
    <row r="52" spans="1:28" s="28" customFormat="1" x14ac:dyDescent="0.2">
      <c r="A52" s="3" t="s">
        <v>145</v>
      </c>
      <c r="B52" s="7"/>
      <c r="C52" s="7"/>
      <c r="D52" s="7"/>
      <c r="E52" s="7"/>
      <c r="F52" s="7"/>
      <c r="G52" s="5"/>
      <c r="H52" s="7"/>
      <c r="I52" s="7"/>
      <c r="J52" s="5"/>
      <c r="K52" s="5"/>
      <c r="L52" s="7"/>
      <c r="M52" s="5"/>
      <c r="N52" s="7"/>
      <c r="O52" s="7"/>
      <c r="P52" s="5"/>
      <c r="Q52" s="7"/>
      <c r="R52" s="7"/>
      <c r="S52" s="7"/>
      <c r="T52" s="5"/>
      <c r="U52" s="5"/>
      <c r="V52" s="7"/>
      <c r="W52" s="5">
        <v>1250</v>
      </c>
      <c r="X52" s="7"/>
      <c r="Y52" s="7"/>
      <c r="Z52" s="5"/>
      <c r="AA52" s="5"/>
      <c r="AB52" s="5">
        <f t="shared" si="18"/>
        <v>0</v>
      </c>
    </row>
    <row r="53" spans="1:28" x14ac:dyDescent="0.2">
      <c r="A53" s="3" t="s">
        <v>68</v>
      </c>
      <c r="B53" s="6">
        <f>((((((B45)+(B46))+(B47))+(B48))+(B49))+(B50))+(B51)</f>
        <v>0</v>
      </c>
      <c r="C53" s="6">
        <f>((((((C45)+(C46))+(C47))+(C48))+(C49))+(C50))+(C51)</f>
        <v>9268.84</v>
      </c>
      <c r="D53" s="6">
        <f>((((((D45)+(D46))+(D47))+(D48))+(D49))+(D50))+(D51)</f>
        <v>620</v>
      </c>
      <c r="E53" s="6">
        <f>((((((E45)+(E46))+(E47))+(E48))+(E49))+(E50))+(E51)</f>
        <v>70</v>
      </c>
      <c r="F53" s="6">
        <f>((((((F45)+(F46))+(F47))+(F48))+(F49))+(F50))+(F51)</f>
        <v>26011.35</v>
      </c>
      <c r="G53" s="6">
        <f>(((C53)+(D53))+(E53))+(F53)</f>
        <v>35970.19</v>
      </c>
      <c r="H53" s="6">
        <f>((((((H45)+(H46))+(H47))+(H48))+(H49))+(H50))+(H51)</f>
        <v>140</v>
      </c>
      <c r="I53" s="6">
        <f>((((((I45)+(I46))+(I47))+(I48))+(I49))+(I50))+(I51)</f>
        <v>15</v>
      </c>
      <c r="J53" s="6">
        <f>(H53)+(I53)</f>
        <v>155</v>
      </c>
      <c r="K53" s="6">
        <f>((((((K45)+(K46))+(K47))+(K48))+(K49))+(K50))+(K51)</f>
        <v>4673</v>
      </c>
      <c r="L53" s="6">
        <f>((((((L45)+(L46))+(L47))+(L48))+(L49))+(L50))+(L51)</f>
        <v>0</v>
      </c>
      <c r="M53" s="6">
        <f>(K53)+(L53)</f>
        <v>4673</v>
      </c>
      <c r="N53" s="6">
        <f t="shared" ref="N53:S53" si="20">((((((N45)+(N46))+(N47))+(N48))+(N49))+(N50))+(N51)</f>
        <v>50</v>
      </c>
      <c r="O53" s="6">
        <f t="shared" si="20"/>
        <v>0</v>
      </c>
      <c r="P53" s="6">
        <f t="shared" si="20"/>
        <v>1407</v>
      </c>
      <c r="Q53" s="6">
        <f t="shared" si="20"/>
        <v>56375.5</v>
      </c>
      <c r="R53" s="6">
        <f t="shared" si="20"/>
        <v>0</v>
      </c>
      <c r="S53" s="6">
        <f t="shared" si="20"/>
        <v>1845</v>
      </c>
      <c r="T53" s="6">
        <f t="shared" si="19"/>
        <v>100475.69</v>
      </c>
      <c r="U53" s="6">
        <f t="shared" ref="U53:Z53" si="21">((((((U45)+(U46))+(U47))+(U48))+(U49))+(U50))+(U51)</f>
        <v>34158.31</v>
      </c>
      <c r="V53" s="6">
        <f t="shared" si="21"/>
        <v>450</v>
      </c>
      <c r="W53" s="6">
        <f>((((((W45)+(W46))+(W47))+(W48))+(W49))+(W50))+(W51)+W52</f>
        <v>5980</v>
      </c>
      <c r="X53" s="6">
        <f t="shared" si="21"/>
        <v>0</v>
      </c>
      <c r="Y53" s="6">
        <f t="shared" si="21"/>
        <v>595</v>
      </c>
      <c r="Z53" s="6">
        <f t="shared" si="21"/>
        <v>1314.15</v>
      </c>
      <c r="AA53" s="6">
        <f>((((V53)+(W53))+(X53))+(Y53))+(Z53)</f>
        <v>8339.15</v>
      </c>
      <c r="AB53" s="6">
        <f t="shared" si="18"/>
        <v>142973.15</v>
      </c>
    </row>
    <row r="54" spans="1:28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x14ac:dyDescent="0.2">
      <c r="A55" s="3" t="s">
        <v>67</v>
      </c>
      <c r="B55" s="7"/>
      <c r="C55" s="7"/>
      <c r="D55" s="7"/>
      <c r="E55" s="7"/>
      <c r="F55" s="7"/>
      <c r="G55" s="5"/>
      <c r="H55" s="7"/>
      <c r="I55" s="7"/>
      <c r="J55" s="5"/>
      <c r="K55" s="7"/>
      <c r="L55" s="7"/>
      <c r="M55" s="5"/>
      <c r="N55" s="7"/>
      <c r="O55" s="7"/>
      <c r="P55" s="7"/>
      <c r="Q55" s="7"/>
      <c r="R55" s="7"/>
      <c r="S55" s="7"/>
      <c r="T55" s="5"/>
      <c r="U55" s="7"/>
      <c r="V55" s="7"/>
      <c r="W55" s="7"/>
      <c r="X55" s="7"/>
      <c r="Y55" s="7"/>
      <c r="Z55" s="7"/>
      <c r="AA55" s="5"/>
      <c r="AB55" s="5"/>
    </row>
    <row r="56" spans="1:28" x14ac:dyDescent="0.2">
      <c r="A56" s="3" t="s">
        <v>66</v>
      </c>
      <c r="B56" s="7"/>
      <c r="C56" s="7"/>
      <c r="D56" s="5">
        <f>229.35</f>
        <v>229.35</v>
      </c>
      <c r="E56" s="7"/>
      <c r="F56" s="7"/>
      <c r="G56" s="5">
        <f>(((C56)+(D56))+(E56))+(F56)</f>
        <v>229.35</v>
      </c>
      <c r="H56" s="7"/>
      <c r="I56" s="7"/>
      <c r="J56" s="5"/>
      <c r="K56" s="7"/>
      <c r="L56" s="7"/>
      <c r="M56" s="5"/>
      <c r="N56" s="7"/>
      <c r="O56" s="5">
        <f>397.42</f>
        <v>397.42</v>
      </c>
      <c r="P56" s="5">
        <f>96.85</f>
        <v>96.85</v>
      </c>
      <c r="Q56" s="7"/>
      <c r="R56" s="7"/>
      <c r="S56" s="7"/>
      <c r="T56" s="5">
        <f>(((((((((B56)+(G56))+(J56))+(M56))+(N56))+(O56))+(P56))+(Q56))+(R56))+(S56)</f>
        <v>723.62</v>
      </c>
      <c r="U56" s="5">
        <f>108.25</f>
        <v>108.25</v>
      </c>
      <c r="V56" s="7"/>
      <c r="W56" s="5">
        <f>2440.2</f>
        <v>2440.1999999999998</v>
      </c>
      <c r="X56" s="7"/>
      <c r="Y56" s="5">
        <f>13.92</f>
        <v>13.92</v>
      </c>
      <c r="Z56" s="5">
        <f>152.05</f>
        <v>152.05000000000001</v>
      </c>
      <c r="AA56" s="5">
        <f>((((V56)+(W56))+(X56))+(Y56))+(Z56)</f>
        <v>2606.17</v>
      </c>
      <c r="AB56" s="5">
        <f t="shared" ref="AB56:AB63" si="22">((T56)+(U56))+(AA56)</f>
        <v>3438.04</v>
      </c>
    </row>
    <row r="57" spans="1:28" x14ac:dyDescent="0.2">
      <c r="A57" s="3" t="s">
        <v>65</v>
      </c>
      <c r="B57" s="7"/>
      <c r="C57" s="7"/>
      <c r="D57" s="7"/>
      <c r="E57" s="7"/>
      <c r="F57" s="7"/>
      <c r="G57" s="5"/>
      <c r="H57" s="7"/>
      <c r="I57" s="7"/>
      <c r="J57" s="5"/>
      <c r="K57" s="7"/>
      <c r="L57" s="7"/>
      <c r="M57" s="5"/>
      <c r="N57" s="7"/>
      <c r="O57" s="7"/>
      <c r="P57" s="7"/>
      <c r="Q57" s="7"/>
      <c r="R57" s="7"/>
      <c r="S57" s="7"/>
      <c r="T57" s="5"/>
      <c r="U57" s="5">
        <f>553.47</f>
        <v>553.47</v>
      </c>
      <c r="V57" s="7"/>
      <c r="W57" s="7"/>
      <c r="X57" s="7"/>
      <c r="Y57" s="7"/>
      <c r="Z57" s="7"/>
      <c r="AA57" s="5"/>
      <c r="AB57" s="5">
        <f t="shared" si="22"/>
        <v>553.47</v>
      </c>
    </row>
    <row r="58" spans="1:28" x14ac:dyDescent="0.2">
      <c r="A58" s="3" t="s">
        <v>64</v>
      </c>
      <c r="B58" s="7"/>
      <c r="C58" s="7"/>
      <c r="D58" s="7"/>
      <c r="E58" s="7"/>
      <c r="F58" s="7"/>
      <c r="G58" s="5"/>
      <c r="H58" s="7"/>
      <c r="I58" s="7"/>
      <c r="J58" s="5"/>
      <c r="K58" s="7"/>
      <c r="L58" s="7"/>
      <c r="M58" s="5"/>
      <c r="N58" s="7"/>
      <c r="O58" s="7"/>
      <c r="P58" s="7"/>
      <c r="Q58" s="7"/>
      <c r="R58" s="7"/>
      <c r="S58" s="7"/>
      <c r="T58" s="5"/>
      <c r="U58" s="5">
        <f>403</f>
        <v>403</v>
      </c>
      <c r="V58" s="7"/>
      <c r="W58" s="5">
        <f>26</f>
        <v>26</v>
      </c>
      <c r="X58" s="7"/>
      <c r="Y58" s="7"/>
      <c r="Z58" s="7"/>
      <c r="AA58" s="5">
        <f>((((V58)+(W58))+(X58))+(Y58))+(Z58)</f>
        <v>26</v>
      </c>
      <c r="AB58" s="5">
        <f t="shared" si="22"/>
        <v>429</v>
      </c>
    </row>
    <row r="59" spans="1:28" x14ac:dyDescent="0.2">
      <c r="A59" s="3" t="s">
        <v>63</v>
      </c>
      <c r="B59" s="7"/>
      <c r="C59" s="7"/>
      <c r="D59" s="7"/>
      <c r="E59" s="7"/>
      <c r="F59" s="7"/>
      <c r="G59" s="5"/>
      <c r="H59" s="7"/>
      <c r="I59" s="7"/>
      <c r="J59" s="5"/>
      <c r="K59" s="7"/>
      <c r="L59" s="7"/>
      <c r="M59" s="5"/>
      <c r="N59" s="7"/>
      <c r="O59" s="7"/>
      <c r="P59" s="7"/>
      <c r="Q59" s="7"/>
      <c r="R59" s="7"/>
      <c r="S59" s="7"/>
      <c r="T59" s="5"/>
      <c r="U59" s="5">
        <f>625.94</f>
        <v>625.94000000000005</v>
      </c>
      <c r="V59" s="7"/>
      <c r="W59" s="7"/>
      <c r="X59" s="7"/>
      <c r="Y59" s="7"/>
      <c r="Z59" s="7"/>
      <c r="AA59" s="5"/>
      <c r="AB59" s="5">
        <f t="shared" si="22"/>
        <v>625.94000000000005</v>
      </c>
    </row>
    <row r="60" spans="1:28" x14ac:dyDescent="0.2">
      <c r="A60" s="3" t="s">
        <v>62</v>
      </c>
      <c r="B60" s="7"/>
      <c r="C60" s="5">
        <f>69.99</f>
        <v>69.989999999999995</v>
      </c>
      <c r="D60" s="5">
        <f>19.88</f>
        <v>19.88</v>
      </c>
      <c r="E60" s="7"/>
      <c r="F60" s="7"/>
      <c r="G60" s="5">
        <f>(((C60)+(D60))+(E60))+(F60)</f>
        <v>89.86999999999999</v>
      </c>
      <c r="H60" s="7"/>
      <c r="I60" s="7"/>
      <c r="J60" s="5">
        <f>(H60)+(I60)</f>
        <v>0</v>
      </c>
      <c r="K60" s="5">
        <f>16.33</f>
        <v>16.329999999999998</v>
      </c>
      <c r="L60" s="7"/>
      <c r="M60" s="5">
        <f>(K60)+(L60)</f>
        <v>16.329999999999998</v>
      </c>
      <c r="N60" s="7"/>
      <c r="O60" s="5">
        <f>234.28</f>
        <v>234.28</v>
      </c>
      <c r="P60" s="7"/>
      <c r="Q60" s="7"/>
      <c r="R60" s="7"/>
      <c r="S60" s="5">
        <f>40</f>
        <v>40</v>
      </c>
      <c r="T60" s="5">
        <f>(((((((((B60)+(G60))+(J60))+(M60))+(N60))+(O60))+(P60))+(Q60))+(R60))+(S60)</f>
        <v>380.48</v>
      </c>
      <c r="U60" s="5">
        <f>562.96</f>
        <v>562.96</v>
      </c>
      <c r="V60" s="7"/>
      <c r="W60" s="5">
        <f>676.59</f>
        <v>676.59</v>
      </c>
      <c r="X60" s="7"/>
      <c r="Y60" s="7"/>
      <c r="Z60" s="5">
        <f>65.4</f>
        <v>65.400000000000006</v>
      </c>
      <c r="AA60" s="5">
        <f>((((V60)+(W60))+(X60))+(Y60))+(Z60)</f>
        <v>741.99</v>
      </c>
      <c r="AB60" s="5">
        <f t="shared" si="22"/>
        <v>1685.43</v>
      </c>
    </row>
    <row r="61" spans="1:28" x14ac:dyDescent="0.2">
      <c r="A61" s="3" t="s">
        <v>61</v>
      </c>
      <c r="B61" s="7"/>
      <c r="C61" s="7"/>
      <c r="D61" s="7"/>
      <c r="E61" s="7"/>
      <c r="F61" s="7"/>
      <c r="G61" s="5"/>
      <c r="H61" s="7"/>
      <c r="I61" s="7"/>
      <c r="J61" s="5"/>
      <c r="K61" s="7"/>
      <c r="L61" s="7"/>
      <c r="M61" s="5"/>
      <c r="N61" s="7"/>
      <c r="O61" s="7"/>
      <c r="P61" s="7"/>
      <c r="Q61" s="7"/>
      <c r="R61" s="7"/>
      <c r="S61" s="5">
        <f>4.99</f>
        <v>4.99</v>
      </c>
      <c r="T61" s="5">
        <f>(((((((((B61)+(G61))+(J61))+(M61))+(N61))+(O61))+(P61))+(Q61))+(R61))+(S61)</f>
        <v>4.99</v>
      </c>
      <c r="U61" s="7"/>
      <c r="V61" s="7"/>
      <c r="W61" s="7"/>
      <c r="X61" s="7"/>
      <c r="Y61" s="7"/>
      <c r="Z61" s="7"/>
      <c r="AA61" s="5"/>
      <c r="AB61" s="5">
        <f t="shared" si="22"/>
        <v>4.99</v>
      </c>
    </row>
    <row r="62" spans="1:28" x14ac:dyDescent="0.2">
      <c r="A62" s="3" t="s">
        <v>60</v>
      </c>
      <c r="B62" s="7"/>
      <c r="C62" s="5">
        <f>448</f>
        <v>448</v>
      </c>
      <c r="D62" s="5">
        <f>8.71</f>
        <v>8.7100000000000009</v>
      </c>
      <c r="E62" s="7"/>
      <c r="F62" s="7"/>
      <c r="G62" s="5">
        <f>(((C62)+(D62))+(E62))+(F62)</f>
        <v>456.71</v>
      </c>
      <c r="H62" s="7"/>
      <c r="I62" s="5">
        <f>2388</f>
        <v>2388</v>
      </c>
      <c r="J62" s="5">
        <f>(H62)+(I62)</f>
        <v>2388</v>
      </c>
      <c r="K62" s="7"/>
      <c r="L62" s="7"/>
      <c r="M62" s="5"/>
      <c r="N62" s="5">
        <f>230.79</f>
        <v>230.79</v>
      </c>
      <c r="O62" s="7"/>
      <c r="P62" s="7"/>
      <c r="Q62" s="7"/>
      <c r="R62" s="7"/>
      <c r="S62" s="7"/>
      <c r="T62" s="5">
        <f>(((((((((B62)+(G62))+(J62))+(M62))+(N62))+(O62))+(P62))+(Q62))+(R62))+(S62)</f>
        <v>3075.5</v>
      </c>
      <c r="U62" s="5">
        <f>2765.75</f>
        <v>2765.75</v>
      </c>
      <c r="V62" s="7"/>
      <c r="W62" s="5">
        <f>31.34</f>
        <v>31.34</v>
      </c>
      <c r="X62" s="7"/>
      <c r="Y62" s="7"/>
      <c r="Z62" s="7"/>
      <c r="AA62" s="5">
        <f>((((V62)+(W62))+(X62))+(Y62))+(Z62)</f>
        <v>31.34</v>
      </c>
      <c r="AB62" s="5">
        <f t="shared" si="22"/>
        <v>5872.59</v>
      </c>
    </row>
    <row r="63" spans="1:28" x14ac:dyDescent="0.2">
      <c r="A63" s="3" t="s">
        <v>59</v>
      </c>
      <c r="B63" s="6">
        <f>(((((((B55)+(B56))+(B57))+(B58))+(B59))+(B60))+(B61))+(B62)</f>
        <v>0</v>
      </c>
      <c r="C63" s="6">
        <f>(((((((C55)+(C56))+(C57))+(C58))+(C59))+(C60))+(C61))+(C62)</f>
        <v>517.99</v>
      </c>
      <c r="D63" s="6">
        <f>(((((((D55)+(D56))+(D57))+(D58))+(D59))+(D60))+(D61))+(D62)</f>
        <v>257.94</v>
      </c>
      <c r="E63" s="6">
        <f>(((((((E55)+(E56))+(E57))+(E58))+(E59))+(E60))+(E61))+(E62)</f>
        <v>0</v>
      </c>
      <c r="F63" s="6">
        <f>(((((((F55)+(F56))+(F57))+(F58))+(F59))+(F60))+(F61))+(F62)</f>
        <v>0</v>
      </c>
      <c r="G63" s="6">
        <f>(((C63)+(D63))+(E63))+(F63)</f>
        <v>775.93000000000006</v>
      </c>
      <c r="H63" s="6">
        <f>(((((((H55)+(H56))+(H57))+(H58))+(H59))+(H60))+(H61))+(H62)</f>
        <v>0</v>
      </c>
      <c r="I63" s="6">
        <f>(((((((I55)+(I56))+(I57))+(I58))+(I59))+(I60))+(I61))+(I62)</f>
        <v>2388</v>
      </c>
      <c r="J63" s="6">
        <f>(H63)+(I63)</f>
        <v>2388</v>
      </c>
      <c r="K63" s="6">
        <f>(((((((K55)+(K56))+(K57))+(K58))+(K59))+(K60))+(K61))+(K62)</f>
        <v>16.329999999999998</v>
      </c>
      <c r="L63" s="6">
        <f>(((((((L55)+(L56))+(L57))+(L58))+(L59))+(L60))+(L61))+(L62)</f>
        <v>0</v>
      </c>
      <c r="M63" s="6">
        <f>(K63)+(L63)</f>
        <v>16.329999999999998</v>
      </c>
      <c r="N63" s="6">
        <f t="shared" ref="N63:S63" si="23">(((((((N55)+(N56))+(N57))+(N58))+(N59))+(N60))+(N61))+(N62)</f>
        <v>230.79</v>
      </c>
      <c r="O63" s="6">
        <f t="shared" si="23"/>
        <v>631.70000000000005</v>
      </c>
      <c r="P63" s="6">
        <f t="shared" si="23"/>
        <v>96.85</v>
      </c>
      <c r="Q63" s="6">
        <f t="shared" si="23"/>
        <v>0</v>
      </c>
      <c r="R63" s="6">
        <f t="shared" si="23"/>
        <v>0</v>
      </c>
      <c r="S63" s="6">
        <f t="shared" si="23"/>
        <v>44.99</v>
      </c>
      <c r="T63" s="6">
        <f>(((((((((B63)+(G63))+(J63))+(M63))+(N63))+(O63))+(P63))+(Q63))+(R63))+(S63)</f>
        <v>4184.59</v>
      </c>
      <c r="U63" s="6">
        <f t="shared" ref="U63:Z63" si="24">(((((((U55)+(U56))+(U57))+(U58))+(U59))+(U60))+(U61))+(U62)</f>
        <v>5019.37</v>
      </c>
      <c r="V63" s="6">
        <f t="shared" si="24"/>
        <v>0</v>
      </c>
      <c r="W63" s="6">
        <f t="shared" si="24"/>
        <v>3174.13</v>
      </c>
      <c r="X63" s="6">
        <f t="shared" si="24"/>
        <v>0</v>
      </c>
      <c r="Y63" s="6">
        <f t="shared" si="24"/>
        <v>13.92</v>
      </c>
      <c r="Z63" s="6">
        <f t="shared" si="24"/>
        <v>217.45000000000002</v>
      </c>
      <c r="AA63" s="6">
        <f>((((V63)+(W63))+(X63))+(Y63))+(Z63)</f>
        <v>3405.5</v>
      </c>
      <c r="AB63" s="6">
        <f t="shared" si="22"/>
        <v>12609.46</v>
      </c>
    </row>
    <row r="64" spans="1:28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x14ac:dyDescent="0.2">
      <c r="A65" s="3" t="s">
        <v>58</v>
      </c>
      <c r="B65" s="7"/>
      <c r="C65" s="7"/>
      <c r="D65" s="7"/>
      <c r="E65" s="7"/>
      <c r="F65" s="7"/>
      <c r="G65" s="5"/>
      <c r="H65" s="7"/>
      <c r="I65" s="7"/>
      <c r="J65" s="5"/>
      <c r="K65" s="7"/>
      <c r="L65" s="7"/>
      <c r="M65" s="5"/>
      <c r="N65" s="7"/>
      <c r="O65" s="7"/>
      <c r="P65" s="7"/>
      <c r="Q65" s="7"/>
      <c r="R65" s="7"/>
      <c r="S65" s="7"/>
      <c r="T65" s="5"/>
      <c r="U65" s="7"/>
      <c r="V65" s="7"/>
      <c r="W65" s="7"/>
      <c r="X65" s="7"/>
      <c r="Y65" s="7"/>
      <c r="Z65" s="7"/>
      <c r="AA65" s="5"/>
      <c r="AB65" s="5"/>
    </row>
    <row r="66" spans="1:28" x14ac:dyDescent="0.2">
      <c r="A66" s="3" t="s">
        <v>57</v>
      </c>
      <c r="B66" s="7"/>
      <c r="C66" s="7"/>
      <c r="D66" s="7"/>
      <c r="E66" s="7"/>
      <c r="F66" s="7"/>
      <c r="G66" s="5"/>
      <c r="H66" s="7"/>
      <c r="I66" s="7"/>
      <c r="J66" s="5"/>
      <c r="K66" s="7"/>
      <c r="L66" s="7"/>
      <c r="M66" s="5"/>
      <c r="N66" s="7"/>
      <c r="O66" s="7"/>
      <c r="P66" s="7"/>
      <c r="Q66" s="7"/>
      <c r="R66" s="7"/>
      <c r="S66" s="7"/>
      <c r="T66" s="5"/>
      <c r="U66" s="7"/>
      <c r="V66" s="7"/>
      <c r="W66" s="5">
        <f>4217.5</f>
        <v>4217.5</v>
      </c>
      <c r="X66" s="7"/>
      <c r="Y66" s="7"/>
      <c r="Z66" s="7"/>
      <c r="AA66" s="5">
        <f>((((V66)+(W66))+(X66))+(Y66))+(Z66)</f>
        <v>4217.5</v>
      </c>
      <c r="AB66" s="5">
        <f>((T66)+(U66))+(AA66)</f>
        <v>4217.5</v>
      </c>
    </row>
    <row r="67" spans="1:28" x14ac:dyDescent="0.2">
      <c r="A67" s="3" t="s">
        <v>56</v>
      </c>
      <c r="B67" s="6">
        <f>(B65)+(B66)</f>
        <v>0</v>
      </c>
      <c r="C67" s="6">
        <f>(C65)+(C66)</f>
        <v>0</v>
      </c>
      <c r="D67" s="6">
        <f>(D65)+(D66)</f>
        <v>0</v>
      </c>
      <c r="E67" s="6">
        <f>(E65)+(E66)</f>
        <v>0</v>
      </c>
      <c r="F67" s="6">
        <f>(F65)+(F66)</f>
        <v>0</v>
      </c>
      <c r="G67" s="6">
        <f>(((C67)+(D67))+(E67))+(F67)</f>
        <v>0</v>
      </c>
      <c r="H67" s="6">
        <f>(H65)+(H66)</f>
        <v>0</v>
      </c>
      <c r="I67" s="6">
        <f>(I65)+(I66)</f>
        <v>0</v>
      </c>
      <c r="J67" s="6">
        <f>(H67)+(I67)</f>
        <v>0</v>
      </c>
      <c r="K67" s="6">
        <f>(K65)+(K66)</f>
        <v>0</v>
      </c>
      <c r="L67" s="6">
        <f>(L65)+(L66)</f>
        <v>0</v>
      </c>
      <c r="M67" s="6">
        <f>(K67)+(L67)</f>
        <v>0</v>
      </c>
      <c r="N67" s="6">
        <f t="shared" ref="N67:S67" si="25">(N65)+(N66)</f>
        <v>0</v>
      </c>
      <c r="O67" s="6">
        <f t="shared" si="25"/>
        <v>0</v>
      </c>
      <c r="P67" s="6">
        <f t="shared" si="25"/>
        <v>0</v>
      </c>
      <c r="Q67" s="6">
        <f t="shared" si="25"/>
        <v>0</v>
      </c>
      <c r="R67" s="6">
        <f t="shared" si="25"/>
        <v>0</v>
      </c>
      <c r="S67" s="6">
        <f t="shared" si="25"/>
        <v>0</v>
      </c>
      <c r="T67" s="6">
        <f>(((((((((B67)+(G67))+(J67))+(M67))+(N67))+(O67))+(P67))+(Q67))+(R67))+(S67)</f>
        <v>0</v>
      </c>
      <c r="U67" s="6">
        <f t="shared" ref="U67:Z67" si="26">(U65)+(U66)</f>
        <v>0</v>
      </c>
      <c r="V67" s="6">
        <f t="shared" si="26"/>
        <v>0</v>
      </c>
      <c r="W67" s="6">
        <f t="shared" si="26"/>
        <v>4217.5</v>
      </c>
      <c r="X67" s="6">
        <f t="shared" si="26"/>
        <v>0</v>
      </c>
      <c r="Y67" s="6">
        <f t="shared" si="26"/>
        <v>0</v>
      </c>
      <c r="Z67" s="6">
        <f t="shared" si="26"/>
        <v>0</v>
      </c>
      <c r="AA67" s="6">
        <f>((((V67)+(W67))+(X67))+(Y67))+(Z67)</f>
        <v>4217.5</v>
      </c>
      <c r="AB67" s="6">
        <f>((T67)+(U67))+(AA67)</f>
        <v>4217.5</v>
      </c>
    </row>
    <row r="68" spans="1:28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x14ac:dyDescent="0.2">
      <c r="A69" s="3" t="s">
        <v>55</v>
      </c>
      <c r="B69" s="7"/>
      <c r="C69" s="7"/>
      <c r="D69" s="7"/>
      <c r="E69" s="7"/>
      <c r="F69" s="7"/>
      <c r="G69" s="5"/>
      <c r="H69" s="7"/>
      <c r="I69" s="7"/>
      <c r="J69" s="5"/>
      <c r="K69" s="5">
        <f>8</f>
        <v>8</v>
      </c>
      <c r="L69" s="7"/>
      <c r="M69" s="5">
        <f>(K69)+(L69)</f>
        <v>8</v>
      </c>
      <c r="N69" s="7"/>
      <c r="O69" s="7"/>
      <c r="P69" s="7"/>
      <c r="Q69" s="7"/>
      <c r="R69" s="7"/>
      <c r="S69" s="7"/>
      <c r="T69" s="5">
        <f t="shared" ref="T69:T75" si="27">(((((((((B69)+(G69))+(J69))+(M69))+(N69))+(O69))+(P69))+(Q69))+(R69))+(S69)</f>
        <v>8</v>
      </c>
      <c r="U69" s="7"/>
      <c r="V69" s="7"/>
      <c r="W69" s="7"/>
      <c r="X69" s="7"/>
      <c r="Y69" s="7"/>
      <c r="Z69" s="7"/>
      <c r="AA69" s="5"/>
      <c r="AB69" s="5">
        <f t="shared" ref="AB69:AB75" si="28">((T69)+(U69))+(AA69)</f>
        <v>8</v>
      </c>
    </row>
    <row r="70" spans="1:28" x14ac:dyDescent="0.2">
      <c r="A70" s="3" t="s">
        <v>54</v>
      </c>
      <c r="B70" s="7"/>
      <c r="C70" s="5">
        <f>128.13</f>
        <v>128.13</v>
      </c>
      <c r="D70" s="5">
        <f>152.09</f>
        <v>152.09</v>
      </c>
      <c r="E70" s="7"/>
      <c r="F70" s="7"/>
      <c r="G70" s="5">
        <f>(((C70)+(D70))+(E70))+(F70)</f>
        <v>280.22000000000003</v>
      </c>
      <c r="H70" s="7"/>
      <c r="I70" s="7"/>
      <c r="J70" s="5"/>
      <c r="K70" s="5">
        <f>450.4</f>
        <v>450.4</v>
      </c>
      <c r="L70" s="7"/>
      <c r="M70" s="5">
        <f>(K70)+(L70)</f>
        <v>450.4</v>
      </c>
      <c r="N70" s="5">
        <f>665.02</f>
        <v>665.02</v>
      </c>
      <c r="O70" s="5">
        <f>1</f>
        <v>1</v>
      </c>
      <c r="P70" s="5">
        <f>97</f>
        <v>97</v>
      </c>
      <c r="Q70" s="7"/>
      <c r="R70" s="5">
        <f>13</f>
        <v>13</v>
      </c>
      <c r="S70" s="5">
        <f>25.25</f>
        <v>25.25</v>
      </c>
      <c r="T70" s="5">
        <f t="shared" si="27"/>
        <v>1531.8899999999999</v>
      </c>
      <c r="U70" s="7"/>
      <c r="V70" s="7"/>
      <c r="W70" s="7"/>
      <c r="X70" s="7"/>
      <c r="Y70" s="7"/>
      <c r="Z70" s="5">
        <f>0.5</f>
        <v>0.5</v>
      </c>
      <c r="AA70" s="5">
        <f>((((V70)+(W70))+(X70))+(Y70))+(Z70)</f>
        <v>0.5</v>
      </c>
      <c r="AB70" s="5">
        <f t="shared" si="28"/>
        <v>1532.3899999999999</v>
      </c>
    </row>
    <row r="71" spans="1:28" x14ac:dyDescent="0.2">
      <c r="A71" s="3" t="s">
        <v>53</v>
      </c>
      <c r="B71" s="7"/>
      <c r="C71" s="5">
        <f>97.05</f>
        <v>97.05</v>
      </c>
      <c r="D71" s="5">
        <f>2010.27</f>
        <v>2010.27</v>
      </c>
      <c r="E71" s="7"/>
      <c r="F71" s="7"/>
      <c r="G71" s="5">
        <f>(((C71)+(D71))+(E71))+(F71)</f>
        <v>2107.3200000000002</v>
      </c>
      <c r="H71" s="7"/>
      <c r="I71" s="7"/>
      <c r="J71" s="5"/>
      <c r="K71" s="5">
        <f>143.7</f>
        <v>143.69999999999999</v>
      </c>
      <c r="L71" s="7"/>
      <c r="M71" s="5">
        <f>(K71)+(L71)</f>
        <v>143.69999999999999</v>
      </c>
      <c r="N71" s="5">
        <f>502.09</f>
        <v>502.09</v>
      </c>
      <c r="O71" s="5">
        <f>270.52</f>
        <v>270.52</v>
      </c>
      <c r="P71" s="5">
        <f>3854.17</f>
        <v>3854.17</v>
      </c>
      <c r="Q71" s="7"/>
      <c r="R71" s="5">
        <f>294.56</f>
        <v>294.56</v>
      </c>
      <c r="S71" s="7"/>
      <c r="T71" s="5">
        <f t="shared" si="27"/>
        <v>7172.3600000000006</v>
      </c>
      <c r="U71" s="5">
        <f>36.01</f>
        <v>36.01</v>
      </c>
      <c r="V71" s="7"/>
      <c r="W71" s="5">
        <f>9378.27</f>
        <v>9378.27</v>
      </c>
      <c r="X71" s="7"/>
      <c r="Y71" s="5">
        <f>26.53</f>
        <v>26.53</v>
      </c>
      <c r="Z71" s="5">
        <f>28.75</f>
        <v>28.75</v>
      </c>
      <c r="AA71" s="5">
        <f>((((V71)+(W71))+(X71))+(Y71))+(Z71)</f>
        <v>9433.5500000000011</v>
      </c>
      <c r="AB71" s="5">
        <f t="shared" si="28"/>
        <v>16641.920000000002</v>
      </c>
    </row>
    <row r="72" spans="1:28" x14ac:dyDescent="0.2">
      <c r="A72" s="3" t="s">
        <v>52</v>
      </c>
      <c r="B72" s="7"/>
      <c r="C72" s="7"/>
      <c r="D72" s="5">
        <f>351.96</f>
        <v>351.96</v>
      </c>
      <c r="E72" s="7"/>
      <c r="F72" s="7"/>
      <c r="G72" s="5">
        <f>(((C72)+(D72))+(E72))+(F72)</f>
        <v>351.96</v>
      </c>
      <c r="H72" s="7"/>
      <c r="I72" s="7"/>
      <c r="J72" s="5"/>
      <c r="K72" s="7"/>
      <c r="L72" s="7"/>
      <c r="M72" s="5"/>
      <c r="N72" s="5">
        <f>1552.87</f>
        <v>1552.87</v>
      </c>
      <c r="O72" s="7"/>
      <c r="P72" s="5">
        <f>-24.45</f>
        <v>-24.45</v>
      </c>
      <c r="Q72" s="7"/>
      <c r="R72" s="5">
        <f>626.4</f>
        <v>626.4</v>
      </c>
      <c r="S72" s="7"/>
      <c r="T72" s="5">
        <f t="shared" si="27"/>
        <v>2506.7799999999997</v>
      </c>
      <c r="U72" s="5">
        <f>278.88</f>
        <v>278.88</v>
      </c>
      <c r="V72" s="7"/>
      <c r="W72" s="5">
        <f>847.5</f>
        <v>847.5</v>
      </c>
      <c r="X72" s="7"/>
      <c r="Y72" s="7"/>
      <c r="Z72" s="7"/>
      <c r="AA72" s="5">
        <f>((((V72)+(W72))+(X72))+(Y72))+(Z72)</f>
        <v>847.5</v>
      </c>
      <c r="AB72" s="5">
        <f t="shared" si="28"/>
        <v>3633.16</v>
      </c>
    </row>
    <row r="73" spans="1:28" x14ac:dyDescent="0.2">
      <c r="A73" s="3" t="s">
        <v>51</v>
      </c>
      <c r="B73" s="7"/>
      <c r="C73" s="5">
        <f>613.4</f>
        <v>613.4</v>
      </c>
      <c r="D73" s="5">
        <f>746.4</f>
        <v>746.4</v>
      </c>
      <c r="E73" s="7"/>
      <c r="F73" s="7"/>
      <c r="G73" s="5">
        <f>(((C73)+(D73))+(E73))+(F73)</f>
        <v>1359.8</v>
      </c>
      <c r="H73" s="7"/>
      <c r="I73" s="7"/>
      <c r="J73" s="5"/>
      <c r="K73" s="5">
        <f>718.91</f>
        <v>718.91</v>
      </c>
      <c r="L73" s="5">
        <f>413.13</f>
        <v>413.13</v>
      </c>
      <c r="M73" s="5">
        <f>(K73)+(L73)</f>
        <v>1132.04</v>
      </c>
      <c r="N73" s="5">
        <f>2184.32</f>
        <v>2184.3200000000002</v>
      </c>
      <c r="O73" s="7"/>
      <c r="P73" s="5">
        <f>466.12</f>
        <v>466.12</v>
      </c>
      <c r="Q73" s="7"/>
      <c r="R73" s="7"/>
      <c r="S73" s="5">
        <f>104.99</f>
        <v>104.99</v>
      </c>
      <c r="T73" s="5">
        <f t="shared" si="27"/>
        <v>5247.2699999999995</v>
      </c>
      <c r="U73" s="5">
        <f>397.19</f>
        <v>397.19</v>
      </c>
      <c r="V73" s="7"/>
      <c r="W73" s="7"/>
      <c r="X73" s="5">
        <f>301.96</f>
        <v>301.95999999999998</v>
      </c>
      <c r="Y73" s="7"/>
      <c r="Z73" s="7"/>
      <c r="AA73" s="5">
        <f>((((V73)+(W73))+(X73))+(Y73))+(Z73)</f>
        <v>301.95999999999998</v>
      </c>
      <c r="AB73" s="5">
        <f t="shared" si="28"/>
        <v>5946.4199999999992</v>
      </c>
    </row>
    <row r="74" spans="1:28" x14ac:dyDescent="0.2">
      <c r="A74" s="3" t="s">
        <v>50</v>
      </c>
      <c r="B74" s="7"/>
      <c r="C74" s="7"/>
      <c r="D74" s="7"/>
      <c r="E74" s="7"/>
      <c r="F74" s="7"/>
      <c r="G74" s="5"/>
      <c r="H74" s="7"/>
      <c r="I74" s="7"/>
      <c r="J74" s="5"/>
      <c r="K74" s="5">
        <f>505</f>
        <v>505</v>
      </c>
      <c r="L74" s="7"/>
      <c r="M74" s="5">
        <f>(K74)+(L74)</f>
        <v>505</v>
      </c>
      <c r="N74" s="5">
        <f>915</f>
        <v>915</v>
      </c>
      <c r="O74" s="7"/>
      <c r="P74" s="7"/>
      <c r="Q74" s="7"/>
      <c r="R74" s="5">
        <f>35</f>
        <v>35</v>
      </c>
      <c r="S74" s="5">
        <f>275</f>
        <v>275</v>
      </c>
      <c r="T74" s="5">
        <f t="shared" si="27"/>
        <v>1730</v>
      </c>
      <c r="U74" s="7"/>
      <c r="V74" s="7"/>
      <c r="W74" s="7"/>
      <c r="X74" s="7"/>
      <c r="Y74" s="7"/>
      <c r="Z74" s="7"/>
      <c r="AA74" s="5"/>
      <c r="AB74" s="5">
        <f t="shared" si="28"/>
        <v>1730</v>
      </c>
    </row>
    <row r="75" spans="1:28" x14ac:dyDescent="0.2">
      <c r="A75" s="3" t="s">
        <v>49</v>
      </c>
      <c r="B75" s="6">
        <f>(((((B69)+(B70))+(B71))+(B72))+(B73))+(B74)</f>
        <v>0</v>
      </c>
      <c r="C75" s="6">
        <f>(((((C69)+(C70))+(C71))+(C72))+(C73))+(C74)</f>
        <v>838.57999999999993</v>
      </c>
      <c r="D75" s="6">
        <f>(((((D69)+(D70))+(D71))+(D72))+(D73))+(D74)</f>
        <v>3260.7200000000003</v>
      </c>
      <c r="E75" s="6">
        <f>(((((E69)+(E70))+(E71))+(E72))+(E73))+(E74)</f>
        <v>0</v>
      </c>
      <c r="F75" s="6">
        <f>(((((F69)+(F70))+(F71))+(F72))+(F73))+(F74)</f>
        <v>0</v>
      </c>
      <c r="G75" s="6">
        <f>(((C75)+(D75))+(E75))+(F75)</f>
        <v>4099.3</v>
      </c>
      <c r="H75" s="6">
        <f>(((((H69)+(H70))+(H71))+(H72))+(H73))+(H74)</f>
        <v>0</v>
      </c>
      <c r="I75" s="6">
        <f>(((((I69)+(I70))+(I71))+(I72))+(I73))+(I74)</f>
        <v>0</v>
      </c>
      <c r="J75" s="6">
        <f>(H75)+(I75)</f>
        <v>0</v>
      </c>
      <c r="K75" s="6">
        <f>(((((K69)+(K70))+(K71))+(K72))+(K73))+(K74)</f>
        <v>1826.0099999999998</v>
      </c>
      <c r="L75" s="6">
        <f>(((((L69)+(L70))+(L71))+(L72))+(L73))+(L74)</f>
        <v>413.13</v>
      </c>
      <c r="M75" s="6">
        <f>(K75)+(L75)</f>
        <v>2239.14</v>
      </c>
      <c r="N75" s="6">
        <f t="shared" ref="N75:S75" si="29">(((((N69)+(N70))+(N71))+(N72))+(N73))+(N74)</f>
        <v>5819.2999999999993</v>
      </c>
      <c r="O75" s="6">
        <f t="shared" si="29"/>
        <v>271.52</v>
      </c>
      <c r="P75" s="6">
        <f t="shared" si="29"/>
        <v>4392.84</v>
      </c>
      <c r="Q75" s="6">
        <f t="shared" si="29"/>
        <v>0</v>
      </c>
      <c r="R75" s="6">
        <f t="shared" si="29"/>
        <v>968.96</v>
      </c>
      <c r="S75" s="6">
        <f t="shared" si="29"/>
        <v>405.24</v>
      </c>
      <c r="T75" s="6">
        <f t="shared" si="27"/>
        <v>18196.3</v>
      </c>
      <c r="U75" s="6">
        <f t="shared" ref="U75:Z75" si="30">(((((U69)+(U70))+(U71))+(U72))+(U73))+(U74)</f>
        <v>712.07999999999993</v>
      </c>
      <c r="V75" s="6">
        <f t="shared" si="30"/>
        <v>0</v>
      </c>
      <c r="W75" s="6">
        <f t="shared" si="30"/>
        <v>10225.77</v>
      </c>
      <c r="X75" s="6">
        <f t="shared" si="30"/>
        <v>301.95999999999998</v>
      </c>
      <c r="Y75" s="6">
        <f t="shared" si="30"/>
        <v>26.53</v>
      </c>
      <c r="Z75" s="6">
        <f t="shared" si="30"/>
        <v>29.25</v>
      </c>
      <c r="AA75" s="6">
        <f>((((V75)+(W75))+(X75))+(Y75))+(Z75)</f>
        <v>10583.51</v>
      </c>
      <c r="AB75" s="6">
        <f t="shared" si="28"/>
        <v>29491.89</v>
      </c>
    </row>
    <row r="76" spans="1:28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x14ac:dyDescent="0.2">
      <c r="A77" s="3" t="s">
        <v>48</v>
      </c>
      <c r="B77" s="7"/>
      <c r="C77" s="7"/>
      <c r="D77" s="7"/>
      <c r="E77" s="7"/>
      <c r="F77" s="7"/>
      <c r="G77" s="5"/>
      <c r="H77" s="7"/>
      <c r="I77" s="7"/>
      <c r="J77" s="5"/>
      <c r="K77" s="7"/>
      <c r="L77" s="7"/>
      <c r="M77" s="5"/>
      <c r="N77" s="7"/>
      <c r="O77" s="7"/>
      <c r="P77" s="7"/>
      <c r="Q77" s="7"/>
      <c r="R77" s="7"/>
      <c r="S77" s="7"/>
      <c r="T77" s="5"/>
      <c r="U77" s="7"/>
      <c r="V77" s="7"/>
      <c r="W77" s="7"/>
      <c r="X77" s="7"/>
      <c r="Y77" s="7"/>
      <c r="Z77" s="7"/>
      <c r="AA77" s="5"/>
      <c r="AB77" s="5"/>
    </row>
    <row r="78" spans="1:28" x14ac:dyDescent="0.2">
      <c r="A78" s="3" t="s">
        <v>47</v>
      </c>
      <c r="B78" s="7"/>
      <c r="C78" s="7"/>
      <c r="D78" s="7"/>
      <c r="E78" s="7"/>
      <c r="F78" s="7"/>
      <c r="G78" s="5"/>
      <c r="H78" s="7"/>
      <c r="I78" s="5">
        <f>500</f>
        <v>500</v>
      </c>
      <c r="J78" s="5">
        <f>(H78)+(I78)</f>
        <v>500</v>
      </c>
      <c r="K78" s="7"/>
      <c r="L78" s="7"/>
      <c r="M78" s="5"/>
      <c r="N78" s="5">
        <f>250</f>
        <v>250</v>
      </c>
      <c r="O78" s="7"/>
      <c r="P78" s="5">
        <f>1876.05</f>
        <v>1876.05</v>
      </c>
      <c r="Q78" s="7"/>
      <c r="R78" s="7"/>
      <c r="S78" s="7"/>
      <c r="T78" s="5">
        <f>(((((((((B78)+(G78))+(J78))+(M78))+(N78))+(O78))+(P78))+(Q78))+(R78))+(S78)</f>
        <v>2626.05</v>
      </c>
      <c r="U78" s="7"/>
      <c r="V78" s="7"/>
      <c r="W78" s="7"/>
      <c r="X78" s="7"/>
      <c r="Y78" s="7"/>
      <c r="Z78" s="7"/>
      <c r="AA78" s="5"/>
      <c r="AB78" s="5">
        <f>((T78)+(U78))+(AA78)</f>
        <v>2626.05</v>
      </c>
    </row>
    <row r="79" spans="1:28" x14ac:dyDescent="0.2">
      <c r="A79" s="3" t="s">
        <v>46</v>
      </c>
      <c r="B79" s="6">
        <f>(B77)+(B78)</f>
        <v>0</v>
      </c>
      <c r="C79" s="6">
        <f>(C77)+(C78)</f>
        <v>0</v>
      </c>
      <c r="D79" s="6">
        <f>(D77)+(D78)</f>
        <v>0</v>
      </c>
      <c r="E79" s="6">
        <f>(E77)+(E78)</f>
        <v>0</v>
      </c>
      <c r="F79" s="6">
        <f>(F77)+(F78)</f>
        <v>0</v>
      </c>
      <c r="G79" s="6">
        <f>(((C79)+(D79))+(E79))+(F79)</f>
        <v>0</v>
      </c>
      <c r="H79" s="6">
        <f>(H77)+(H78)</f>
        <v>0</v>
      </c>
      <c r="I79" s="6">
        <f>(I77)+(I78)</f>
        <v>500</v>
      </c>
      <c r="J79" s="6">
        <f>(H79)+(I79)</f>
        <v>500</v>
      </c>
      <c r="K79" s="6">
        <f>(K77)+(K78)</f>
        <v>0</v>
      </c>
      <c r="L79" s="6">
        <f>(L77)+(L78)</f>
        <v>0</v>
      </c>
      <c r="M79" s="6">
        <f>(K79)+(L79)</f>
        <v>0</v>
      </c>
      <c r="N79" s="6">
        <f t="shared" ref="N79:S79" si="31">(N77)+(N78)</f>
        <v>250</v>
      </c>
      <c r="O79" s="6">
        <f t="shared" si="31"/>
        <v>0</v>
      </c>
      <c r="P79" s="6">
        <f t="shared" si="31"/>
        <v>1876.05</v>
      </c>
      <c r="Q79" s="6">
        <f t="shared" si="31"/>
        <v>0</v>
      </c>
      <c r="R79" s="6">
        <f t="shared" si="31"/>
        <v>0</v>
      </c>
      <c r="S79" s="6">
        <f t="shared" si="31"/>
        <v>0</v>
      </c>
      <c r="T79" s="6">
        <f>(((((((((B79)+(G79))+(J79))+(M79))+(N79))+(O79))+(P79))+(Q79))+(R79))+(S79)</f>
        <v>2626.05</v>
      </c>
      <c r="U79" s="6">
        <f t="shared" ref="U79:Z79" si="32">(U77)+(U78)</f>
        <v>0</v>
      </c>
      <c r="V79" s="6">
        <f t="shared" si="32"/>
        <v>0</v>
      </c>
      <c r="W79" s="6">
        <f t="shared" si="32"/>
        <v>0</v>
      </c>
      <c r="X79" s="6">
        <f t="shared" si="32"/>
        <v>0</v>
      </c>
      <c r="Y79" s="6">
        <f t="shared" si="32"/>
        <v>0</v>
      </c>
      <c r="Z79" s="6">
        <f t="shared" si="32"/>
        <v>0</v>
      </c>
      <c r="AA79" s="6">
        <f>((((V79)+(W79))+(X79))+(Y79))+(Z79)</f>
        <v>0</v>
      </c>
      <c r="AB79" s="6">
        <f>((T79)+(U79))+(AA79)</f>
        <v>2626.05</v>
      </c>
    </row>
    <row r="80" spans="1:28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x14ac:dyDescent="0.2">
      <c r="A81" s="3" t="s">
        <v>45</v>
      </c>
      <c r="B81" s="7"/>
      <c r="C81" s="7"/>
      <c r="D81" s="7"/>
      <c r="E81" s="7"/>
      <c r="F81" s="7"/>
      <c r="G81" s="5"/>
      <c r="H81" s="7"/>
      <c r="I81" s="7"/>
      <c r="J81" s="5"/>
      <c r="K81" s="7"/>
      <c r="L81" s="7"/>
      <c r="M81" s="5"/>
      <c r="N81" s="7"/>
      <c r="O81" s="7"/>
      <c r="P81" s="7"/>
      <c r="Q81" s="7"/>
      <c r="R81" s="7"/>
      <c r="S81" s="7"/>
      <c r="T81" s="5"/>
      <c r="U81" s="5">
        <f>28</f>
        <v>28</v>
      </c>
      <c r="V81" s="7"/>
      <c r="W81" s="7"/>
      <c r="X81" s="7"/>
      <c r="Y81" s="7"/>
      <c r="Z81" s="7"/>
      <c r="AA81" s="5"/>
      <c r="AB81" s="5">
        <f t="shared" ref="AB81:AB89" si="33">((T81)+(U81))+(AA81)</f>
        <v>28</v>
      </c>
    </row>
    <row r="82" spans="1:28" x14ac:dyDescent="0.2">
      <c r="A82" s="3" t="s">
        <v>44</v>
      </c>
      <c r="B82" s="7"/>
      <c r="C82" s="7"/>
      <c r="D82" s="7"/>
      <c r="E82" s="7"/>
      <c r="F82" s="7"/>
      <c r="G82" s="5"/>
      <c r="H82" s="7"/>
      <c r="I82" s="7"/>
      <c r="J82" s="5"/>
      <c r="K82" s="7"/>
      <c r="L82" s="7"/>
      <c r="M82" s="5"/>
      <c r="N82" s="7"/>
      <c r="O82" s="7"/>
      <c r="P82" s="7"/>
      <c r="Q82" s="7"/>
      <c r="R82" s="7"/>
      <c r="S82" s="7"/>
      <c r="T82" s="5"/>
      <c r="U82" s="5">
        <f>386.69</f>
        <v>386.69</v>
      </c>
      <c r="V82" s="7"/>
      <c r="W82" s="7"/>
      <c r="X82" s="7"/>
      <c r="Y82" s="7"/>
      <c r="Z82" s="7"/>
      <c r="AA82" s="5"/>
      <c r="AB82" s="5">
        <f t="shared" si="33"/>
        <v>386.69</v>
      </c>
    </row>
    <row r="83" spans="1:28" x14ac:dyDescent="0.2">
      <c r="A83" s="3" t="s">
        <v>43</v>
      </c>
      <c r="B83" s="7"/>
      <c r="C83" s="7"/>
      <c r="D83" s="7"/>
      <c r="E83" s="7"/>
      <c r="F83" s="7"/>
      <c r="G83" s="5"/>
      <c r="H83" s="7"/>
      <c r="I83" s="7"/>
      <c r="J83" s="5"/>
      <c r="K83" s="7"/>
      <c r="L83" s="7"/>
      <c r="M83" s="5"/>
      <c r="N83" s="7"/>
      <c r="O83" s="7"/>
      <c r="P83" s="7"/>
      <c r="Q83" s="7"/>
      <c r="R83" s="7"/>
      <c r="S83" s="7"/>
      <c r="T83" s="5"/>
      <c r="U83" s="5">
        <f>440</f>
        <v>440</v>
      </c>
      <c r="V83" s="7"/>
      <c r="W83" s="7"/>
      <c r="X83" s="7"/>
      <c r="Y83" s="7"/>
      <c r="Z83" s="7"/>
      <c r="AA83" s="5"/>
      <c r="AB83" s="5">
        <f t="shared" si="33"/>
        <v>440</v>
      </c>
    </row>
    <row r="84" spans="1:28" x14ac:dyDescent="0.2">
      <c r="A84" s="3" t="s">
        <v>42</v>
      </c>
      <c r="B84" s="7"/>
      <c r="C84" s="7"/>
      <c r="D84" s="7"/>
      <c r="E84" s="7"/>
      <c r="F84" s="7"/>
      <c r="G84" s="5"/>
      <c r="H84" s="5">
        <f>368</f>
        <v>368</v>
      </c>
      <c r="I84" s="7"/>
      <c r="J84" s="5">
        <f>(H84)+(I84)</f>
        <v>368</v>
      </c>
      <c r="K84" s="7"/>
      <c r="L84" s="7"/>
      <c r="M84" s="5"/>
      <c r="N84" s="7"/>
      <c r="O84" s="7"/>
      <c r="P84" s="7"/>
      <c r="Q84" s="7"/>
      <c r="R84" s="7"/>
      <c r="S84" s="7"/>
      <c r="T84" s="5">
        <f t="shared" ref="T84:T89" si="34">(((((((((B84)+(G84))+(J84))+(M84))+(N84))+(O84))+(P84))+(Q84))+(R84))+(S84)</f>
        <v>368</v>
      </c>
      <c r="U84" s="5">
        <f>144</f>
        <v>144</v>
      </c>
      <c r="V84" s="7"/>
      <c r="W84" s="7"/>
      <c r="X84" s="7"/>
      <c r="Y84" s="7"/>
      <c r="Z84" s="7"/>
      <c r="AA84" s="5"/>
      <c r="AB84" s="5">
        <f t="shared" si="33"/>
        <v>512</v>
      </c>
    </row>
    <row r="85" spans="1:28" x14ac:dyDescent="0.2">
      <c r="A85" s="3" t="s">
        <v>41</v>
      </c>
      <c r="B85" s="7"/>
      <c r="C85" s="7"/>
      <c r="D85" s="5">
        <f>8.8</f>
        <v>8.8000000000000007</v>
      </c>
      <c r="E85" s="7"/>
      <c r="F85" s="7"/>
      <c r="G85" s="5">
        <f>(((C85)+(D85))+(E85))+(F85)</f>
        <v>8.8000000000000007</v>
      </c>
      <c r="H85" s="7"/>
      <c r="I85" s="7"/>
      <c r="J85" s="5"/>
      <c r="K85" s="7"/>
      <c r="L85" s="7"/>
      <c r="M85" s="5"/>
      <c r="N85" s="7"/>
      <c r="O85" s="7"/>
      <c r="P85" s="7"/>
      <c r="Q85" s="7"/>
      <c r="R85" s="7"/>
      <c r="S85" s="7"/>
      <c r="T85" s="5">
        <f t="shared" si="34"/>
        <v>8.8000000000000007</v>
      </c>
      <c r="U85" s="5">
        <f>331.93</f>
        <v>331.93</v>
      </c>
      <c r="V85" s="7"/>
      <c r="W85" s="7"/>
      <c r="X85" s="7"/>
      <c r="Y85" s="7"/>
      <c r="Z85" s="7"/>
      <c r="AA85" s="5"/>
      <c r="AB85" s="5">
        <f t="shared" si="33"/>
        <v>340.73</v>
      </c>
    </row>
    <row r="86" spans="1:28" x14ac:dyDescent="0.2">
      <c r="A86" s="3" t="s">
        <v>40</v>
      </c>
      <c r="B86" s="7"/>
      <c r="C86" s="5">
        <f>2.02</f>
        <v>2.02</v>
      </c>
      <c r="D86" s="5">
        <f>167.87</f>
        <v>167.87</v>
      </c>
      <c r="E86" s="7"/>
      <c r="F86" s="7"/>
      <c r="G86" s="5">
        <f>(((C86)+(D86))+(E86))+(F86)</f>
        <v>169.89000000000001</v>
      </c>
      <c r="H86" s="7"/>
      <c r="I86" s="7"/>
      <c r="J86" s="5"/>
      <c r="K86" s="7"/>
      <c r="L86" s="7"/>
      <c r="M86" s="5"/>
      <c r="N86" s="7"/>
      <c r="O86" s="7"/>
      <c r="P86" s="7"/>
      <c r="Q86" s="5">
        <f>16.56</f>
        <v>16.559999999999999</v>
      </c>
      <c r="R86" s="7"/>
      <c r="S86" s="5">
        <f>2.36</f>
        <v>2.36</v>
      </c>
      <c r="T86" s="5">
        <f t="shared" si="34"/>
        <v>188.81000000000003</v>
      </c>
      <c r="U86" s="5">
        <f>1615.1</f>
        <v>1615.1</v>
      </c>
      <c r="V86" s="7"/>
      <c r="W86" s="5">
        <f>747.54</f>
        <v>747.54</v>
      </c>
      <c r="X86" s="7"/>
      <c r="Y86" s="5">
        <f>72.09</f>
        <v>72.09</v>
      </c>
      <c r="Z86" s="5">
        <f>6.74</f>
        <v>6.74</v>
      </c>
      <c r="AA86" s="5">
        <f>((((V86)+(W86))+(X86))+(Y86))+(Z86)</f>
        <v>826.37</v>
      </c>
      <c r="AB86" s="5">
        <f t="shared" si="33"/>
        <v>2630.2799999999997</v>
      </c>
    </row>
    <row r="87" spans="1:28" x14ac:dyDescent="0.2">
      <c r="A87" s="3" t="s">
        <v>39</v>
      </c>
      <c r="B87" s="7"/>
      <c r="C87" s="5">
        <f>60</f>
        <v>60</v>
      </c>
      <c r="D87" s="5">
        <f>396</f>
        <v>396</v>
      </c>
      <c r="E87" s="7"/>
      <c r="F87" s="7"/>
      <c r="G87" s="5">
        <f>(((C87)+(D87))+(E87))+(F87)</f>
        <v>456</v>
      </c>
      <c r="H87" s="7"/>
      <c r="I87" s="7"/>
      <c r="J87" s="5"/>
      <c r="K87" s="7"/>
      <c r="L87" s="7"/>
      <c r="M87" s="5"/>
      <c r="N87" s="7"/>
      <c r="O87" s="7"/>
      <c r="P87" s="7"/>
      <c r="Q87" s="7"/>
      <c r="R87" s="7"/>
      <c r="S87" s="5">
        <f>38</f>
        <v>38</v>
      </c>
      <c r="T87" s="5">
        <f t="shared" si="34"/>
        <v>494</v>
      </c>
      <c r="U87" s="5">
        <f>116.97</f>
        <v>116.97</v>
      </c>
      <c r="V87" s="7"/>
      <c r="W87" s="5">
        <f>939.03</f>
        <v>939.03</v>
      </c>
      <c r="X87" s="7"/>
      <c r="Y87" s="7"/>
      <c r="Z87" s="7"/>
      <c r="AA87" s="5">
        <f>((((V87)+(W87))+(X87))+(Y87))+(Z87)</f>
        <v>939.03</v>
      </c>
      <c r="AB87" s="5">
        <f t="shared" si="33"/>
        <v>1550</v>
      </c>
    </row>
    <row r="88" spans="1:28" x14ac:dyDescent="0.2">
      <c r="A88" s="3" t="s">
        <v>38</v>
      </c>
      <c r="B88" s="7"/>
      <c r="C88" s="5">
        <f>24.7</f>
        <v>24.7</v>
      </c>
      <c r="D88" s="7"/>
      <c r="E88" s="7"/>
      <c r="F88" s="7"/>
      <c r="G88" s="5">
        <f>(((C88)+(D88))+(E88))+(F88)</f>
        <v>24.7</v>
      </c>
      <c r="H88" s="7"/>
      <c r="I88" s="7"/>
      <c r="J88" s="5"/>
      <c r="K88" s="7"/>
      <c r="L88" s="7"/>
      <c r="M88" s="5"/>
      <c r="N88" s="7"/>
      <c r="O88" s="7"/>
      <c r="P88" s="7"/>
      <c r="Q88" s="7"/>
      <c r="R88" s="7"/>
      <c r="S88" s="7"/>
      <c r="T88" s="5">
        <f t="shared" si="34"/>
        <v>24.7</v>
      </c>
      <c r="U88" s="5">
        <f>240.33</f>
        <v>240.33</v>
      </c>
      <c r="V88" s="7"/>
      <c r="W88" s="7"/>
      <c r="X88" s="7"/>
      <c r="Y88" s="7"/>
      <c r="Z88" s="5"/>
      <c r="AA88" s="5"/>
      <c r="AB88" s="5">
        <f t="shared" si="33"/>
        <v>265.03000000000003</v>
      </c>
    </row>
    <row r="89" spans="1:28" x14ac:dyDescent="0.2">
      <c r="A89" s="3" t="s">
        <v>37</v>
      </c>
      <c r="B89" s="6">
        <f>(((((((B81)+(B82))+(B83))+(B84))+(B85))+(B86))+(B87))+(B88)</f>
        <v>0</v>
      </c>
      <c r="C89" s="6">
        <f>(((((((C81)+(C82))+(C83))+(C84))+(C85))+(C86))+(C87))+(C88)</f>
        <v>86.72</v>
      </c>
      <c r="D89" s="6">
        <f>(((((((D81)+(D82))+(D83))+(D84))+(D85))+(D86))+(D87))+(D88)</f>
        <v>572.67000000000007</v>
      </c>
      <c r="E89" s="6">
        <f>(((((((E81)+(E82))+(E83))+(E84))+(E85))+(E86))+(E87))+(E88)</f>
        <v>0</v>
      </c>
      <c r="F89" s="6">
        <f>(((((((F81)+(F82))+(F83))+(F84))+(F85))+(F86))+(F87))+(F88)</f>
        <v>0</v>
      </c>
      <c r="G89" s="6">
        <f>(((C89)+(D89))+(E89))+(F89)</f>
        <v>659.3900000000001</v>
      </c>
      <c r="H89" s="6">
        <f>(((((((H81)+(H82))+(H83))+(H84))+(H85))+(H86))+(H87))+(H88)</f>
        <v>368</v>
      </c>
      <c r="I89" s="6">
        <f>(((((((I81)+(I82))+(I83))+(I84))+(I85))+(I86))+(I87))+(I88)</f>
        <v>0</v>
      </c>
      <c r="J89" s="6">
        <f>(H89)+(I89)</f>
        <v>368</v>
      </c>
      <c r="K89" s="6">
        <f>(((((((K81)+(K82))+(K83))+(K84))+(K85))+(K86))+(K87))+(K88)</f>
        <v>0</v>
      </c>
      <c r="L89" s="6">
        <f>(((((((L81)+(L82))+(L83))+(L84))+(L85))+(L86))+(L87))+(L88)</f>
        <v>0</v>
      </c>
      <c r="M89" s="6">
        <f>(K89)+(L89)</f>
        <v>0</v>
      </c>
      <c r="N89" s="6">
        <f t="shared" ref="N89:S89" si="35">(((((((N81)+(N82))+(N83))+(N84))+(N85))+(N86))+(N87))+(N88)</f>
        <v>0</v>
      </c>
      <c r="O89" s="6">
        <f t="shared" si="35"/>
        <v>0</v>
      </c>
      <c r="P89" s="6">
        <f t="shared" si="35"/>
        <v>0</v>
      </c>
      <c r="Q89" s="6">
        <f t="shared" si="35"/>
        <v>16.559999999999999</v>
      </c>
      <c r="R89" s="6">
        <f t="shared" si="35"/>
        <v>0</v>
      </c>
      <c r="S89" s="6">
        <f t="shared" si="35"/>
        <v>40.36</v>
      </c>
      <c r="T89" s="6">
        <f t="shared" si="34"/>
        <v>1084.31</v>
      </c>
      <c r="U89" s="6">
        <f t="shared" ref="U89:Z89" si="36">(((((((U81)+(U82))+(U83))+(U84))+(U85))+(U86))+(U87))+(U88)</f>
        <v>3303.02</v>
      </c>
      <c r="V89" s="6">
        <f t="shared" si="36"/>
        <v>0</v>
      </c>
      <c r="W89" s="6">
        <f t="shared" si="36"/>
        <v>1686.57</v>
      </c>
      <c r="X89" s="6">
        <f t="shared" si="36"/>
        <v>0</v>
      </c>
      <c r="Y89" s="6">
        <f t="shared" si="36"/>
        <v>72.09</v>
      </c>
      <c r="Z89" s="6">
        <f t="shared" si="36"/>
        <v>6.74</v>
      </c>
      <c r="AA89" s="6">
        <f>((((V89)+(W89))+(X89))+(Y89))+(Z89)</f>
        <v>1765.3999999999999</v>
      </c>
      <c r="AB89" s="6">
        <f t="shared" si="33"/>
        <v>6152.73</v>
      </c>
    </row>
    <row r="90" spans="1:28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x14ac:dyDescent="0.2">
      <c r="A91" s="3" t="s">
        <v>36</v>
      </c>
      <c r="B91" s="6">
        <f>(((((B53)+(B63))+(B67))+(B75))+(B79))+(B89)</f>
        <v>0</v>
      </c>
      <c r="C91" s="6">
        <f>(((((C53)+(C63))+(C67))+(C75))+(C79))+(C89)</f>
        <v>10712.13</v>
      </c>
      <c r="D91" s="6">
        <f>(((((D53)+(D63))+(D67))+(D75))+(D79))+(D89)</f>
        <v>4711.33</v>
      </c>
      <c r="E91" s="6">
        <f>(((((E53)+(E63))+(E67))+(E75))+(E79))+(E89)</f>
        <v>70</v>
      </c>
      <c r="F91" s="6">
        <f>(((((F53)+(F63))+(F67))+(F75))+(F79))+(F89)</f>
        <v>26011.35</v>
      </c>
      <c r="G91" s="6">
        <f>(((C91)+(D91))+(E91))+(F91)</f>
        <v>41504.81</v>
      </c>
      <c r="H91" s="6">
        <f>(((((H53)+(H63))+(H67))+(H75))+(H79))+(H89)</f>
        <v>508</v>
      </c>
      <c r="I91" s="6">
        <f>(((((I53)+(I63))+(I67))+(I75))+(I79))+(I89)</f>
        <v>2903</v>
      </c>
      <c r="J91" s="6">
        <f>(H91)+(I91)</f>
        <v>3411</v>
      </c>
      <c r="K91" s="6">
        <f>(((((K53)+(K63))+(K67))+(K75))+(K79))+(K89)</f>
        <v>6515.34</v>
      </c>
      <c r="L91" s="6">
        <f>(((((L53)+(L63))+(L67))+(L75))+(L79))+(L89)</f>
        <v>413.13</v>
      </c>
      <c r="M91" s="6">
        <f>(K91)+(L91)</f>
        <v>6928.47</v>
      </c>
      <c r="N91" s="6">
        <f t="shared" ref="N91:S91" si="37">(((((N53)+(N63))+(N67))+(N75))+(N79))+(N89)</f>
        <v>6350.0899999999992</v>
      </c>
      <c r="O91" s="6">
        <f t="shared" si="37"/>
        <v>903.22</v>
      </c>
      <c r="P91" s="6">
        <f t="shared" si="37"/>
        <v>7772.7400000000007</v>
      </c>
      <c r="Q91" s="6">
        <f t="shared" si="37"/>
        <v>56392.06</v>
      </c>
      <c r="R91" s="6">
        <f t="shared" si="37"/>
        <v>968.96</v>
      </c>
      <c r="S91" s="6">
        <f t="shared" si="37"/>
        <v>2335.59</v>
      </c>
      <c r="T91" s="6">
        <f>(((((((((B91)+(G91))+(J91))+(M91))+(N91))+(O91))+(P91))+(Q91))+(R91))+(S91)</f>
        <v>126566.94</v>
      </c>
      <c r="U91" s="6">
        <f t="shared" ref="U91:Z91" si="38">(((((U53)+(U63))+(U67))+(U75))+(U79))+(U89)</f>
        <v>43192.78</v>
      </c>
      <c r="V91" s="6">
        <f t="shared" si="38"/>
        <v>450</v>
      </c>
      <c r="W91" s="6">
        <f t="shared" si="38"/>
        <v>25283.97</v>
      </c>
      <c r="X91" s="6">
        <f t="shared" si="38"/>
        <v>301.95999999999998</v>
      </c>
      <c r="Y91" s="6">
        <f t="shared" si="38"/>
        <v>707.54</v>
      </c>
      <c r="Z91" s="6">
        <f t="shared" si="38"/>
        <v>1567.5900000000001</v>
      </c>
      <c r="AA91" s="6">
        <f>((((V91)+(W91))+(X91))+(Y91))+(Z91)</f>
        <v>28311.06</v>
      </c>
      <c r="AB91" s="6">
        <f>((T91)+(U91))+(AA91)</f>
        <v>198070.78</v>
      </c>
    </row>
    <row r="92" spans="1:28" hidden="1" x14ac:dyDescent="0.2">
      <c r="A92" s="3" t="s">
        <v>35</v>
      </c>
      <c r="B92" s="9">
        <f>(B42)-(B91)</f>
        <v>0</v>
      </c>
      <c r="C92" s="9">
        <f>(C42)-(C91)</f>
        <v>-8602.1299999999992</v>
      </c>
      <c r="D92" s="9">
        <f>(D42)-(D91)</f>
        <v>-1598.83</v>
      </c>
      <c r="E92" s="9">
        <f>(E42)-(E91)</f>
        <v>-70</v>
      </c>
      <c r="F92" s="9">
        <f>(F42)-(F91)</f>
        <v>14488.650000000001</v>
      </c>
      <c r="G92" s="9">
        <f>(((C92)+(D92))+(E92))+(F92)</f>
        <v>4217.6900000000023</v>
      </c>
      <c r="H92" s="9">
        <f>(H42)-(H91)</f>
        <v>-508</v>
      </c>
      <c r="I92" s="9">
        <f>(I42)-(I91)</f>
        <v>24363.09</v>
      </c>
      <c r="J92" s="9">
        <f>(H92)+(I92)</f>
        <v>23855.09</v>
      </c>
      <c r="K92" s="9">
        <f>(K42)-(K91)</f>
        <v>8484.66</v>
      </c>
      <c r="L92" s="9">
        <f>(L42)-(L91)</f>
        <v>-413.13</v>
      </c>
      <c r="M92" s="9">
        <f>(K92)+(L92)</f>
        <v>8071.53</v>
      </c>
      <c r="N92" s="9">
        <f t="shared" ref="N92:S92" si="39">(N42)-(N91)</f>
        <v>-5600.0899999999992</v>
      </c>
      <c r="O92" s="9">
        <f t="shared" si="39"/>
        <v>-903.22</v>
      </c>
      <c r="P92" s="9">
        <f t="shared" si="39"/>
        <v>11418.880000000001</v>
      </c>
      <c r="Q92" s="9">
        <f t="shared" si="39"/>
        <v>10852.940000000002</v>
      </c>
      <c r="R92" s="9">
        <f t="shared" si="39"/>
        <v>-968.96</v>
      </c>
      <c r="S92" s="9">
        <f t="shared" si="39"/>
        <v>-2101.7000000000003</v>
      </c>
      <c r="T92" s="9">
        <f>(((((((((B92)+(G92))+(J92))+(M92))+(N92))+(O92))+(P92))+(Q92))+(R92))+(S92)</f>
        <v>48842.160000000011</v>
      </c>
      <c r="U92" s="9">
        <f t="shared" ref="U92:Z92" si="40">(U42)-(U91)</f>
        <v>-42708.11</v>
      </c>
      <c r="V92" s="9">
        <f t="shared" si="40"/>
        <v>-450</v>
      </c>
      <c r="W92" s="9">
        <f t="shared" si="40"/>
        <v>3385.9199999999983</v>
      </c>
      <c r="X92" s="9">
        <f t="shared" si="40"/>
        <v>523.04</v>
      </c>
      <c r="Y92" s="9">
        <f t="shared" si="40"/>
        <v>423.24</v>
      </c>
      <c r="Z92" s="9">
        <f t="shared" si="40"/>
        <v>-656.59000000000015</v>
      </c>
      <c r="AA92" s="9">
        <f>((((V92)+(W92))+(X92))+(Y92))+(Z92)</f>
        <v>3225.6099999999979</v>
      </c>
      <c r="AB92" s="9">
        <f>((T92)+(U92))+(AA92)</f>
        <v>9359.6600000000071</v>
      </c>
    </row>
    <row r="93" spans="1:28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6" thickBot="1" x14ac:dyDescent="0.25">
      <c r="A94" s="3" t="s">
        <v>34</v>
      </c>
      <c r="B94" s="10">
        <f>(B92)+(0)</f>
        <v>0</v>
      </c>
      <c r="C94" s="10">
        <f>(C92)+(0)</f>
        <v>-8602.1299999999992</v>
      </c>
      <c r="D94" s="10">
        <f>(D92)+(0)</f>
        <v>-1598.83</v>
      </c>
      <c r="E94" s="10">
        <f>(E92)+(0)</f>
        <v>-70</v>
      </c>
      <c r="F94" s="10">
        <f>(F92)+(0)</f>
        <v>14488.650000000001</v>
      </c>
      <c r="G94" s="10">
        <f>(((C94)+(D94))+(E94))+(F94)</f>
        <v>4217.6900000000023</v>
      </c>
      <c r="H94" s="10">
        <f>(H92)+(0)</f>
        <v>-508</v>
      </c>
      <c r="I94" s="10">
        <f>(I92)+(0)</f>
        <v>24363.09</v>
      </c>
      <c r="J94" s="10">
        <f>(H94)+(I94)</f>
        <v>23855.09</v>
      </c>
      <c r="K94" s="10">
        <f>(K92)+(0)</f>
        <v>8484.66</v>
      </c>
      <c r="L94" s="10">
        <f>(L92)+(0)</f>
        <v>-413.13</v>
      </c>
      <c r="M94" s="10">
        <f>(K94)+(L94)</f>
        <v>8071.53</v>
      </c>
      <c r="N94" s="10">
        <f t="shared" ref="N94:S94" si="41">(N92)+(0)</f>
        <v>-5600.0899999999992</v>
      </c>
      <c r="O94" s="10">
        <f t="shared" si="41"/>
        <v>-903.22</v>
      </c>
      <c r="P94" s="10">
        <f t="shared" si="41"/>
        <v>11418.880000000001</v>
      </c>
      <c r="Q94" s="10">
        <f t="shared" si="41"/>
        <v>10852.940000000002</v>
      </c>
      <c r="R94" s="10">
        <f t="shared" si="41"/>
        <v>-968.96</v>
      </c>
      <c r="S94" s="10">
        <f t="shared" si="41"/>
        <v>-2101.7000000000003</v>
      </c>
      <c r="T94" s="10">
        <f>(((((((((B94)+(G94))+(J94))+(M94))+(N94))+(O94))+(P94))+(Q94))+(R94))+(S94)</f>
        <v>48842.160000000011</v>
      </c>
      <c r="U94" s="10">
        <f t="shared" ref="U94:Z94" si="42">(U92)+(0)</f>
        <v>-42708.11</v>
      </c>
      <c r="V94" s="10">
        <f t="shared" si="42"/>
        <v>-450</v>
      </c>
      <c r="W94" s="10">
        <f t="shared" si="42"/>
        <v>3385.9199999999983</v>
      </c>
      <c r="X94" s="10">
        <f t="shared" si="42"/>
        <v>523.04</v>
      </c>
      <c r="Y94" s="10">
        <f t="shared" si="42"/>
        <v>423.24</v>
      </c>
      <c r="Z94" s="10">
        <f t="shared" si="42"/>
        <v>-656.59000000000015</v>
      </c>
      <c r="AA94" s="10">
        <f>((((V94)+(W94))+(X94))+(Y94))+(Z94)</f>
        <v>3225.6099999999979</v>
      </c>
      <c r="AB94" s="10">
        <f>((T94)+(U94))+(AA94)</f>
        <v>9359.6600000000071</v>
      </c>
    </row>
    <row r="95" spans="1:28" ht="16" thickTop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</sheetData>
  <mergeCells count="3">
    <mergeCell ref="A1:AB1"/>
    <mergeCell ref="A2:AB2"/>
    <mergeCell ref="A3:AB3"/>
  </mergeCells>
  <printOptions horizontalCentered="1" gridLines="1"/>
  <pageMargins left="0.7" right="0.7" top="0.75" bottom="0.75" header="0.3" footer="0.3"/>
  <pageSetup scale="89" fitToHeight="0" orientation="portrait" r:id="rId1"/>
  <headerFooter>
    <oddFooter>&amp;CStatement of Financial Activities By Class&amp;RPage &amp;P</oddFooter>
  </headerFooter>
  <rowBreaks count="2" manualBreakCount="2">
    <brk id="43" max="16383" man="1"/>
    <brk id="80" max="16383" man="1"/>
  </rowBreaks>
  <ignoredErrors>
    <ignoredError sqref="G10:AB10 G15:Z15 N12:S14 G19:AB19 H17:I17 G18:I18 N18:Z18 G26:AB26 H25:L25 H21:I24 K22:Z22 K21:L21 N21:S21 K23:L24 N23:Z25 G33:AB33 H32:L32 H31:I31 K31:L31 N32:AB32 N31:S31 G36:I36 H35:I35 G41:AB42 H37:I38 K35:L38 N35:S35 N36:AB37 G47:AB47 K45:L46 G53:V53 H51:I51 G50:L50 G48:I49 K48:AB48 K51:AB51 N50:AB50 K49:L49 N49:Z49 G56:I56 H55:I55 G60:AB60 H57:I59 G63:AB63 H61:I61 N56:AB56 N55:S55 K61:L61 G67:AB67 N65:S66 G70:I73 H69:I69 G75:AB75 H74:I74 K70:AB71 K69:Z69 K74:Z74 K73:AB73 K72:L72 N72:AB72 G94:AB94 H84:L84 G85:I88 K85:L88 N86:AB87 U14:AB14 U12:Z12 AB18 U21:Z21 AB22:AB25 G29:AB29 G28:Z28 AB28 U31:Z31 U35:Z35 G44:S44 U44:AB44 N45:S46 U45:Z46 AB46 AB49 AB57 N57:S59 AB59 AB61 U55:Z55 U58:AB58 U57:Z57 U59:Z59 U66:AB66 U65:Z65 AB69 AB74 G79:AB79 H77:I77 H78:L78 AB78 AB81:AB85 N88:Y88 AB88 N84:Z85 N81:S83 U81:Z83 U77:Z77 G62:L62 N62:AB62 N61:Z61 G39:AB39 K77:L77 H81:I83 K81:L83 N78:Z78 N77:S77 G89:AB89 G91:AB92 N17:S17 U17:Z17 N38:S38 U38:AB38 U13:V13 AB13 AB15 X13:Z13 X53:AB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9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58" sqref="C58"/>
    </sheetView>
  </sheetViews>
  <sheetFormatPr baseColWidth="10" defaultColWidth="8.83203125" defaultRowHeight="15" x14ac:dyDescent="0.2"/>
  <cols>
    <col min="1" max="1" width="55.6640625" customWidth="1"/>
    <col min="2" max="4" width="15.6640625" customWidth="1"/>
  </cols>
  <sheetData>
    <row r="1" spans="1:4" ht="18" x14ac:dyDescent="0.2">
      <c r="A1" s="44" t="s">
        <v>31</v>
      </c>
      <c r="B1" s="45"/>
      <c r="C1" s="45"/>
      <c r="D1" s="45"/>
    </row>
    <row r="2" spans="1:4" ht="18" x14ac:dyDescent="0.2">
      <c r="A2" s="44" t="s">
        <v>143</v>
      </c>
      <c r="B2" s="45"/>
      <c r="C2" s="45"/>
      <c r="D2" s="45"/>
    </row>
    <row r="3" spans="1:4" x14ac:dyDescent="0.2">
      <c r="A3" s="46" t="s">
        <v>106</v>
      </c>
      <c r="B3" s="45"/>
      <c r="C3" s="45"/>
      <c r="D3" s="45"/>
    </row>
    <row r="5" spans="1:4" x14ac:dyDescent="0.2">
      <c r="A5" s="1"/>
      <c r="B5" s="47" t="s">
        <v>0</v>
      </c>
      <c r="C5" s="48"/>
      <c r="D5" s="48"/>
    </row>
    <row r="6" spans="1:4" x14ac:dyDescent="0.2">
      <c r="A6" s="1"/>
      <c r="B6" s="15" t="s">
        <v>140</v>
      </c>
      <c r="C6" s="15" t="s">
        <v>139</v>
      </c>
      <c r="D6" s="15" t="s">
        <v>138</v>
      </c>
    </row>
    <row r="7" spans="1:4" x14ac:dyDescent="0.2">
      <c r="A7" s="3" t="s">
        <v>105</v>
      </c>
      <c r="B7" s="7"/>
      <c r="C7" s="7"/>
      <c r="D7" s="7"/>
    </row>
    <row r="8" spans="1:4" x14ac:dyDescent="0.2">
      <c r="A8" s="3" t="s">
        <v>104</v>
      </c>
      <c r="B8" s="7"/>
      <c r="C8" s="7"/>
      <c r="D8" s="5"/>
    </row>
    <row r="9" spans="1:4" x14ac:dyDescent="0.2">
      <c r="A9" s="3" t="s">
        <v>103</v>
      </c>
      <c r="B9" s="5">
        <f>4986.43</f>
        <v>4986.43</v>
      </c>
      <c r="C9" s="5">
        <f>6661</f>
        <v>6661</v>
      </c>
      <c r="D9" s="5">
        <f>(B9)-(C9)</f>
        <v>-1674.5699999999997</v>
      </c>
    </row>
    <row r="10" spans="1:4" x14ac:dyDescent="0.2">
      <c r="A10" s="3" t="s">
        <v>102</v>
      </c>
      <c r="B10" s="5">
        <f>17049.49</f>
        <v>17049.490000000002</v>
      </c>
      <c r="C10" s="5">
        <f>17000</f>
        <v>17000</v>
      </c>
      <c r="D10" s="5">
        <f>(B10)-(C10)</f>
        <v>49.490000000001601</v>
      </c>
    </row>
    <row r="11" spans="1:4" x14ac:dyDescent="0.2">
      <c r="A11" s="3" t="s">
        <v>101</v>
      </c>
      <c r="B11" s="6">
        <f>((B8)+(B9))+(B10)</f>
        <v>22035.920000000002</v>
      </c>
      <c r="C11" s="6">
        <f>((C8)+(C9))+(C10)</f>
        <v>23661</v>
      </c>
      <c r="D11" s="6">
        <f>(B11)-(C11)</f>
        <v>-1625.0799999999981</v>
      </c>
    </row>
    <row r="12" spans="1:4" x14ac:dyDescent="0.2">
      <c r="A12" s="3"/>
      <c r="B12" s="9"/>
      <c r="C12" s="9"/>
      <c r="D12" s="9"/>
    </row>
    <row r="13" spans="1:4" x14ac:dyDescent="0.2">
      <c r="A13" s="3" t="s">
        <v>100</v>
      </c>
      <c r="B13" s="7"/>
      <c r="C13" s="7"/>
      <c r="D13" s="5"/>
    </row>
    <row r="14" spans="1:4" hidden="1" x14ac:dyDescent="0.2">
      <c r="A14" s="3" t="s">
        <v>99</v>
      </c>
      <c r="B14" s="5"/>
      <c r="C14" s="7"/>
      <c r="D14" s="5">
        <f>(B14)-(C14)</f>
        <v>0</v>
      </c>
    </row>
    <row r="15" spans="1:4" x14ac:dyDescent="0.2">
      <c r="A15" s="3" t="s">
        <v>99</v>
      </c>
      <c r="B15" s="5">
        <f>1250</f>
        <v>1250</v>
      </c>
      <c r="C15" s="7"/>
      <c r="D15" s="5">
        <f>(B15)-(C15)</f>
        <v>1250</v>
      </c>
    </row>
    <row r="16" spans="1:4" x14ac:dyDescent="0.2">
      <c r="A16" s="3" t="s">
        <v>98</v>
      </c>
      <c r="B16" s="6">
        <f>((B13)+(B14))+(B15)</f>
        <v>1250</v>
      </c>
      <c r="C16" s="6">
        <f>((C13)+(C14))+(C15)</f>
        <v>0</v>
      </c>
      <c r="D16" s="6">
        <f>(B16)-(C16)</f>
        <v>1250</v>
      </c>
    </row>
    <row r="17" spans="1:4" x14ac:dyDescent="0.2">
      <c r="A17" s="3"/>
      <c r="B17" s="9"/>
      <c r="C17" s="9"/>
      <c r="D17" s="9"/>
    </row>
    <row r="18" spans="1:4" x14ac:dyDescent="0.2">
      <c r="A18" s="3" t="s">
        <v>97</v>
      </c>
      <c r="B18" s="7"/>
      <c r="C18" s="7"/>
      <c r="D18" s="5"/>
    </row>
    <row r="19" spans="1:4" x14ac:dyDescent="0.2">
      <c r="A19" s="3" t="s">
        <v>96</v>
      </c>
      <c r="B19" s="5">
        <f>110045</f>
        <v>110045</v>
      </c>
      <c r="C19" s="5">
        <f>83500</f>
        <v>83500</v>
      </c>
      <c r="D19" s="5">
        <f>(B19)-(C19)</f>
        <v>26545</v>
      </c>
    </row>
    <row r="20" spans="1:4" x14ac:dyDescent="0.2">
      <c r="A20" s="3" t="s">
        <v>95</v>
      </c>
      <c r="B20" s="6">
        <f>(B18)+(B19)</f>
        <v>110045</v>
      </c>
      <c r="C20" s="6">
        <f>(C18)+(C19)</f>
        <v>83500</v>
      </c>
      <c r="D20" s="6">
        <f>(B20)-(C20)</f>
        <v>26545</v>
      </c>
    </row>
    <row r="21" spans="1:4" x14ac:dyDescent="0.2">
      <c r="A21" s="3"/>
      <c r="B21" s="9"/>
      <c r="C21" s="9"/>
      <c r="D21" s="9"/>
    </row>
    <row r="22" spans="1:4" x14ac:dyDescent="0.2">
      <c r="A22" s="3" t="s">
        <v>94</v>
      </c>
      <c r="B22" s="7"/>
      <c r="C22" s="7"/>
      <c r="D22" s="5"/>
    </row>
    <row r="23" spans="1:4" x14ac:dyDescent="0.2">
      <c r="A23" s="3" t="s">
        <v>93</v>
      </c>
      <c r="B23" s="5">
        <f>15750</f>
        <v>15750</v>
      </c>
      <c r="C23" s="7"/>
      <c r="D23" s="5">
        <f>(B23)-(C23)</f>
        <v>15750</v>
      </c>
    </row>
    <row r="24" spans="1:4" x14ac:dyDescent="0.2">
      <c r="A24" s="3" t="s">
        <v>92</v>
      </c>
      <c r="B24" s="5">
        <f>5919.38</f>
        <v>5919.38</v>
      </c>
      <c r="C24" s="5">
        <f>6428</f>
        <v>6428</v>
      </c>
      <c r="D24" s="5">
        <f>(B24)-(C24)</f>
        <v>-508.61999999999989</v>
      </c>
    </row>
    <row r="25" spans="1:4" x14ac:dyDescent="0.2">
      <c r="A25" s="3" t="s">
        <v>91</v>
      </c>
      <c r="B25" s="5">
        <f>700</f>
        <v>700</v>
      </c>
      <c r="C25" s="5">
        <f>1100</f>
        <v>1100</v>
      </c>
      <c r="D25" s="5">
        <f>(B25)-(C25)</f>
        <v>-400</v>
      </c>
    </row>
    <row r="26" spans="1:4" x14ac:dyDescent="0.2">
      <c r="A26" s="3" t="s">
        <v>90</v>
      </c>
      <c r="B26" s="5">
        <f>26766.09</f>
        <v>26766.09</v>
      </c>
      <c r="C26" s="5">
        <f>50000</f>
        <v>50000</v>
      </c>
      <c r="D26" s="5">
        <f>(B26)-(C26)</f>
        <v>-23233.91</v>
      </c>
    </row>
    <row r="27" spans="1:4" x14ac:dyDescent="0.2">
      <c r="A27" s="3" t="s">
        <v>89</v>
      </c>
      <c r="B27" s="6">
        <f>(((B23)+(B24))+(B25))+(B26)</f>
        <v>49135.47</v>
      </c>
      <c r="C27" s="6">
        <f>(((C23)+(C24))+(C25))+(C26)</f>
        <v>57528</v>
      </c>
      <c r="D27" s="6">
        <f>(B27)-(C27)</f>
        <v>-8392.5299999999988</v>
      </c>
    </row>
    <row r="28" spans="1:4" x14ac:dyDescent="0.2">
      <c r="A28" s="3"/>
      <c r="B28" s="9"/>
      <c r="C28" s="9"/>
      <c r="D28" s="9"/>
    </row>
    <row r="29" spans="1:4" x14ac:dyDescent="0.2">
      <c r="A29" s="3" t="s">
        <v>88</v>
      </c>
      <c r="B29" s="5">
        <f>2213.89</f>
        <v>2213.89</v>
      </c>
      <c r="C29" s="5">
        <f>1050</f>
        <v>1050</v>
      </c>
      <c r="D29" s="5">
        <f>(B29)-(C29)</f>
        <v>1163.8899999999999</v>
      </c>
    </row>
    <row r="30" spans="1:4" x14ac:dyDescent="0.2">
      <c r="A30" s="3" t="s">
        <v>137</v>
      </c>
      <c r="B30" s="7"/>
      <c r="C30" s="5">
        <f>1500</f>
        <v>1500</v>
      </c>
      <c r="D30" s="5">
        <f>(B30)-(C30)</f>
        <v>-1500</v>
      </c>
    </row>
    <row r="31" spans="1:4" x14ac:dyDescent="0.2">
      <c r="A31" s="3" t="s">
        <v>87</v>
      </c>
      <c r="B31" s="6">
        <f>(((B22)+(B27))+(B29))+(B30)</f>
        <v>51349.36</v>
      </c>
      <c r="C31" s="6">
        <f>(((C22)+(C27))+(C29))+(C30)</f>
        <v>60078</v>
      </c>
      <c r="D31" s="6">
        <f>(B31)-(C31)</f>
        <v>-8728.64</v>
      </c>
    </row>
    <row r="32" spans="1:4" x14ac:dyDescent="0.2">
      <c r="A32" s="3"/>
      <c r="B32" s="9"/>
      <c r="C32" s="9"/>
      <c r="D32" s="9"/>
    </row>
    <row r="33" spans="1:4" x14ac:dyDescent="0.2">
      <c r="A33" s="3" t="s">
        <v>86</v>
      </c>
      <c r="B33" s="7"/>
      <c r="C33" s="7"/>
      <c r="D33" s="5"/>
    </row>
    <row r="34" spans="1:4" x14ac:dyDescent="0.2">
      <c r="A34" s="3" t="s">
        <v>85</v>
      </c>
      <c r="B34" s="5">
        <f>1117.67</f>
        <v>1117.67</v>
      </c>
      <c r="C34" s="7"/>
      <c r="D34" s="5">
        <f>(B34)-(C34)</f>
        <v>1117.67</v>
      </c>
    </row>
    <row r="35" spans="1:4" x14ac:dyDescent="0.2">
      <c r="A35" s="3" t="s">
        <v>84</v>
      </c>
      <c r="B35" s="6">
        <f>(B33)+(B34)</f>
        <v>1117.67</v>
      </c>
      <c r="C35" s="6">
        <f>(C33)+(C34)</f>
        <v>0</v>
      </c>
      <c r="D35" s="6">
        <f>(B35)-(C35)</f>
        <v>1117.67</v>
      </c>
    </row>
    <row r="36" spans="1:4" x14ac:dyDescent="0.2">
      <c r="A36" s="3"/>
      <c r="B36" s="9"/>
      <c r="C36" s="9"/>
      <c r="D36" s="9"/>
    </row>
    <row r="37" spans="1:4" x14ac:dyDescent="0.2">
      <c r="A37" s="3" t="s">
        <v>83</v>
      </c>
      <c r="B37" s="16"/>
      <c r="C37" s="7"/>
      <c r="D37" s="5"/>
    </row>
    <row r="38" spans="1:4" x14ac:dyDescent="0.2">
      <c r="A38" s="3" t="s">
        <v>82</v>
      </c>
      <c r="B38" s="5">
        <f>17347.49</f>
        <v>17347.490000000002</v>
      </c>
      <c r="C38" s="5">
        <f>9139</f>
        <v>9139</v>
      </c>
      <c r="D38" s="5">
        <f>(B38)-(C38)</f>
        <v>8208.4900000000016</v>
      </c>
    </row>
    <row r="39" spans="1:4" x14ac:dyDescent="0.2">
      <c r="A39" s="3" t="s">
        <v>81</v>
      </c>
      <c r="B39" s="5">
        <f>-5550</f>
        <v>-5550</v>
      </c>
      <c r="C39" s="7"/>
      <c r="D39" s="5">
        <f>(B39)-(C39)</f>
        <v>-5550</v>
      </c>
    </row>
    <row r="40" spans="1:4" x14ac:dyDescent="0.2">
      <c r="A40" s="3" t="s">
        <v>80</v>
      </c>
      <c r="B40" s="5">
        <f>9835</f>
        <v>9835</v>
      </c>
      <c r="C40" s="5">
        <f>7781</f>
        <v>7781</v>
      </c>
      <c r="D40" s="5">
        <f>(B40)-(C40)</f>
        <v>2054</v>
      </c>
    </row>
    <row r="41" spans="1:4" x14ac:dyDescent="0.2">
      <c r="A41" s="3" t="s">
        <v>79</v>
      </c>
      <c r="B41" s="6">
        <f>(((B37)+(B38))+(B39))+(B40)</f>
        <v>21632.49</v>
      </c>
      <c r="C41" s="6">
        <f>(((C37)+(C38))+(C39))+(C40)</f>
        <v>16920</v>
      </c>
      <c r="D41" s="6">
        <f>(B41)-(C41)</f>
        <v>4712.4900000000016</v>
      </c>
    </row>
    <row r="42" spans="1:4" x14ac:dyDescent="0.2">
      <c r="A42" s="3"/>
      <c r="B42" s="9"/>
      <c r="C42" s="9"/>
      <c r="D42" s="9"/>
    </row>
    <row r="43" spans="1:4" x14ac:dyDescent="0.2">
      <c r="A43" s="3" t="s">
        <v>78</v>
      </c>
      <c r="B43" s="6">
        <f>(((((B11)+(B16))+(B20))+(B31))+(B35))+(B41)</f>
        <v>207430.44000000003</v>
      </c>
      <c r="C43" s="6">
        <f>(((((C11)+(C16))+(C20))+(C31))+(C35))+(C41)</f>
        <v>184159</v>
      </c>
      <c r="D43" s="6">
        <f>(B43)-(C43)</f>
        <v>23271.440000000031</v>
      </c>
    </row>
    <row r="44" spans="1:4" hidden="1" x14ac:dyDescent="0.2">
      <c r="A44" s="3" t="s">
        <v>77</v>
      </c>
      <c r="B44" s="6">
        <f>(B43)-(0)</f>
        <v>207430.44000000003</v>
      </c>
      <c r="C44" s="6">
        <f>(C43)-(0)</f>
        <v>184159</v>
      </c>
      <c r="D44" s="6">
        <f>(B44)-(C44)</f>
        <v>23271.440000000031</v>
      </c>
    </row>
    <row r="45" spans="1:4" x14ac:dyDescent="0.2">
      <c r="A45" s="3"/>
      <c r="B45" s="9"/>
      <c r="C45" s="9"/>
      <c r="D45" s="9"/>
    </row>
    <row r="46" spans="1:4" x14ac:dyDescent="0.2">
      <c r="A46" s="3" t="s">
        <v>76</v>
      </c>
      <c r="B46" s="7"/>
      <c r="C46" s="7"/>
      <c r="D46" s="7"/>
    </row>
    <row r="47" spans="1:4" x14ac:dyDescent="0.2">
      <c r="A47" s="3" t="s">
        <v>75</v>
      </c>
      <c r="B47" s="7"/>
      <c r="C47" s="7"/>
      <c r="D47" s="5"/>
    </row>
    <row r="48" spans="1:4" x14ac:dyDescent="0.2">
      <c r="A48" s="3" t="s">
        <v>136</v>
      </c>
      <c r="B48" s="7"/>
      <c r="C48" s="5">
        <f>3000</f>
        <v>3000</v>
      </c>
      <c r="D48" s="5">
        <f t="shared" ref="D48:D56" si="0">(B48)-(C48)</f>
        <v>-3000</v>
      </c>
    </row>
    <row r="49" spans="1:4" x14ac:dyDescent="0.2">
      <c r="A49" s="3" t="s">
        <v>74</v>
      </c>
      <c r="B49" s="5">
        <f>6000.01</f>
        <v>6000.01</v>
      </c>
      <c r="C49" s="5">
        <f>5000</f>
        <v>5000</v>
      </c>
      <c r="D49" s="5">
        <f t="shared" si="0"/>
        <v>1000.0100000000002</v>
      </c>
    </row>
    <row r="50" spans="1:4" x14ac:dyDescent="0.2">
      <c r="A50" s="3" t="s">
        <v>73</v>
      </c>
      <c r="B50" s="5">
        <f>77565.3</f>
        <v>77565.3</v>
      </c>
      <c r="C50" s="5">
        <f>68834</f>
        <v>68834</v>
      </c>
      <c r="D50" s="5">
        <f t="shared" si="0"/>
        <v>8731.3000000000029</v>
      </c>
    </row>
    <row r="51" spans="1:4" x14ac:dyDescent="0.2">
      <c r="A51" s="3" t="s">
        <v>72</v>
      </c>
      <c r="B51" s="5">
        <f>10735</f>
        <v>10735</v>
      </c>
      <c r="C51" s="5">
        <f>7465</f>
        <v>7465</v>
      </c>
      <c r="D51" s="5">
        <f t="shared" si="0"/>
        <v>3270</v>
      </c>
    </row>
    <row r="52" spans="1:4" x14ac:dyDescent="0.2">
      <c r="A52" s="3" t="s">
        <v>71</v>
      </c>
      <c r="B52" s="5">
        <f>31804.69</f>
        <v>31804.69</v>
      </c>
      <c r="C52" s="5">
        <f>5000</f>
        <v>5000</v>
      </c>
      <c r="D52" s="5">
        <f t="shared" si="0"/>
        <v>26804.69</v>
      </c>
    </row>
    <row r="53" spans="1:4" x14ac:dyDescent="0.2">
      <c r="A53" s="3" t="s">
        <v>70</v>
      </c>
      <c r="B53" s="5">
        <f>8117</f>
        <v>8117</v>
      </c>
      <c r="C53" s="5">
        <f>16800</f>
        <v>16800</v>
      </c>
      <c r="D53" s="5">
        <f t="shared" si="0"/>
        <v>-8683</v>
      </c>
    </row>
    <row r="54" spans="1:4" x14ac:dyDescent="0.2">
      <c r="A54" s="3" t="s">
        <v>69</v>
      </c>
      <c r="B54" s="5">
        <f>7501.15</f>
        <v>7501.15</v>
      </c>
      <c r="C54" s="5">
        <f>10557</f>
        <v>10557</v>
      </c>
      <c r="D54" s="5">
        <f t="shared" si="0"/>
        <v>-3055.8500000000004</v>
      </c>
    </row>
    <row r="55" spans="1:4" s="28" customFormat="1" x14ac:dyDescent="0.2">
      <c r="A55" s="3" t="s">
        <v>145</v>
      </c>
      <c r="B55" s="5">
        <v>1250</v>
      </c>
      <c r="C55" s="5"/>
      <c r="D55" s="5">
        <f t="shared" si="0"/>
        <v>1250</v>
      </c>
    </row>
    <row r="56" spans="1:4" x14ac:dyDescent="0.2">
      <c r="A56" s="3" t="s">
        <v>68</v>
      </c>
      <c r="B56" s="6">
        <f>(((((((B47)+(B48))+(B49))+(B50))+(B51))+(B52))+(B53))+(B54)+B55</f>
        <v>142973.15</v>
      </c>
      <c r="C56" s="6">
        <f>(((((((C47)+(C48))+(C49))+(C50))+(C51))+(C52))+(C53))+(C54)</f>
        <v>116656</v>
      </c>
      <c r="D56" s="6">
        <f t="shared" si="0"/>
        <v>26317.149999999994</v>
      </c>
    </row>
    <row r="57" spans="1:4" x14ac:dyDescent="0.2">
      <c r="A57" s="3"/>
      <c r="B57" s="9"/>
      <c r="C57" s="9"/>
      <c r="D57" s="9"/>
    </row>
    <row r="58" spans="1:4" x14ac:dyDescent="0.2">
      <c r="A58" s="3" t="s">
        <v>67</v>
      </c>
      <c r="B58" s="7"/>
      <c r="C58" s="7"/>
      <c r="D58" s="5"/>
    </row>
    <row r="59" spans="1:4" x14ac:dyDescent="0.2">
      <c r="A59" s="3" t="s">
        <v>66</v>
      </c>
      <c r="B59" s="5">
        <f>3438.04</f>
        <v>3438.04</v>
      </c>
      <c r="C59" s="5">
        <f>3750</f>
        <v>3750</v>
      </c>
      <c r="D59" s="5">
        <f t="shared" ref="D59:D66" si="1">(B59)-(C59)</f>
        <v>-311.96000000000004</v>
      </c>
    </row>
    <row r="60" spans="1:4" x14ac:dyDescent="0.2">
      <c r="A60" s="3" t="s">
        <v>65</v>
      </c>
      <c r="B60" s="5">
        <f>553.47</f>
        <v>553.47</v>
      </c>
      <c r="C60" s="5">
        <f>100</f>
        <v>100</v>
      </c>
      <c r="D60" s="5">
        <f t="shared" si="1"/>
        <v>453.47</v>
      </c>
    </row>
    <row r="61" spans="1:4" x14ac:dyDescent="0.2">
      <c r="A61" s="3" t="s">
        <v>64</v>
      </c>
      <c r="B61" s="5">
        <f>429</f>
        <v>429</v>
      </c>
      <c r="C61" s="5">
        <f>1160</f>
        <v>1160</v>
      </c>
      <c r="D61" s="5">
        <f t="shared" si="1"/>
        <v>-731</v>
      </c>
    </row>
    <row r="62" spans="1:4" x14ac:dyDescent="0.2">
      <c r="A62" s="3" t="s">
        <v>63</v>
      </c>
      <c r="B62" s="5">
        <f>625.94</f>
        <v>625.94000000000005</v>
      </c>
      <c r="C62" s="7"/>
      <c r="D62" s="5">
        <f t="shared" si="1"/>
        <v>625.94000000000005</v>
      </c>
    </row>
    <row r="63" spans="1:4" x14ac:dyDescent="0.2">
      <c r="A63" s="3" t="s">
        <v>62</v>
      </c>
      <c r="B63" s="5">
        <f>1685.43</f>
        <v>1685.43</v>
      </c>
      <c r="C63" s="5">
        <f>1670</f>
        <v>1670</v>
      </c>
      <c r="D63" s="5">
        <f t="shared" si="1"/>
        <v>15.430000000000064</v>
      </c>
    </row>
    <row r="64" spans="1:4" x14ac:dyDescent="0.2">
      <c r="A64" s="3" t="s">
        <v>61</v>
      </c>
      <c r="B64" s="5">
        <f>4.99</f>
        <v>4.99</v>
      </c>
      <c r="C64" s="7"/>
      <c r="D64" s="5">
        <f t="shared" si="1"/>
        <v>4.99</v>
      </c>
    </row>
    <row r="65" spans="1:4" x14ac:dyDescent="0.2">
      <c r="A65" s="3" t="s">
        <v>60</v>
      </c>
      <c r="B65" s="5">
        <f>5872.59</f>
        <v>5872.59</v>
      </c>
      <c r="C65" s="5">
        <f>1342</f>
        <v>1342</v>
      </c>
      <c r="D65" s="5">
        <f t="shared" si="1"/>
        <v>4530.59</v>
      </c>
    </row>
    <row r="66" spans="1:4" x14ac:dyDescent="0.2">
      <c r="A66" s="3" t="s">
        <v>59</v>
      </c>
      <c r="B66" s="6">
        <f>(((((((B58)+(B59))+(B60))+(B61))+(B62))+(B63))+(B64))+(B65)</f>
        <v>12609.460000000001</v>
      </c>
      <c r="C66" s="6">
        <f>(((((((C58)+(C59))+(C60))+(C61))+(C62))+(C63))+(C64))+(C65)</f>
        <v>8022</v>
      </c>
      <c r="D66" s="6">
        <f t="shared" si="1"/>
        <v>4587.4600000000009</v>
      </c>
    </row>
    <row r="67" spans="1:4" x14ac:dyDescent="0.2">
      <c r="A67" s="3"/>
      <c r="B67" s="9"/>
      <c r="C67" s="9"/>
      <c r="D67" s="9"/>
    </row>
    <row r="68" spans="1:4" x14ac:dyDescent="0.2">
      <c r="A68" s="3" t="s">
        <v>58</v>
      </c>
      <c r="B68" s="7"/>
      <c r="C68" s="7"/>
      <c r="D68" s="5"/>
    </row>
    <row r="69" spans="1:4" x14ac:dyDescent="0.2">
      <c r="A69" s="3" t="s">
        <v>57</v>
      </c>
      <c r="B69" s="5">
        <f>4217.5</f>
        <v>4217.5</v>
      </c>
      <c r="C69" s="5">
        <f>4000</f>
        <v>4000</v>
      </c>
      <c r="D69" s="5">
        <f>(B69)-(C69)</f>
        <v>217.5</v>
      </c>
    </row>
    <row r="70" spans="1:4" x14ac:dyDescent="0.2">
      <c r="A70" s="3" t="s">
        <v>56</v>
      </c>
      <c r="B70" s="6">
        <f>(B68)+(B69)</f>
        <v>4217.5</v>
      </c>
      <c r="C70" s="6">
        <f>(C68)+(C69)</f>
        <v>4000</v>
      </c>
      <c r="D70" s="6">
        <f>(B70)-(C70)</f>
        <v>217.5</v>
      </c>
    </row>
    <row r="71" spans="1:4" x14ac:dyDescent="0.2">
      <c r="A71" s="3"/>
      <c r="B71" s="9"/>
      <c r="C71" s="9"/>
      <c r="D71" s="9"/>
    </row>
    <row r="72" spans="1:4" x14ac:dyDescent="0.2">
      <c r="A72" s="3" t="s">
        <v>55</v>
      </c>
      <c r="B72" s="5">
        <f>8</f>
        <v>8</v>
      </c>
      <c r="C72" s="5">
        <f>6500</f>
        <v>6500</v>
      </c>
      <c r="D72" s="5">
        <f t="shared" ref="D72:D78" si="2">(B72)-(C72)</f>
        <v>-6492</v>
      </c>
    </row>
    <row r="73" spans="1:4" x14ac:dyDescent="0.2">
      <c r="A73" s="3" t="s">
        <v>54</v>
      </c>
      <c r="B73" s="5">
        <f>1532.39</f>
        <v>1532.39</v>
      </c>
      <c r="C73" s="5">
        <f>2100</f>
        <v>2100</v>
      </c>
      <c r="D73" s="5">
        <f t="shared" si="2"/>
        <v>-567.6099999999999</v>
      </c>
    </row>
    <row r="74" spans="1:4" x14ac:dyDescent="0.2">
      <c r="A74" s="3" t="s">
        <v>53</v>
      </c>
      <c r="B74" s="5">
        <f>16641.92</f>
        <v>16641.919999999998</v>
      </c>
      <c r="C74" s="5">
        <f>11206</f>
        <v>11206</v>
      </c>
      <c r="D74" s="5">
        <f t="shared" si="2"/>
        <v>5435.9199999999983</v>
      </c>
    </row>
    <row r="75" spans="1:4" x14ac:dyDescent="0.2">
      <c r="A75" s="3" t="s">
        <v>52</v>
      </c>
      <c r="B75" s="5">
        <f>3633.16</f>
        <v>3633.16</v>
      </c>
      <c r="C75" s="5">
        <f>5250</f>
        <v>5250</v>
      </c>
      <c r="D75" s="5">
        <f t="shared" si="2"/>
        <v>-1616.8400000000001</v>
      </c>
    </row>
    <row r="76" spans="1:4" x14ac:dyDescent="0.2">
      <c r="A76" s="3" t="s">
        <v>51</v>
      </c>
      <c r="B76" s="5">
        <f>5946.42</f>
        <v>5946.42</v>
      </c>
      <c r="C76" s="5">
        <f>9250</f>
        <v>9250</v>
      </c>
      <c r="D76" s="5">
        <f t="shared" si="2"/>
        <v>-3303.58</v>
      </c>
    </row>
    <row r="77" spans="1:4" x14ac:dyDescent="0.2">
      <c r="A77" s="3" t="s">
        <v>50</v>
      </c>
      <c r="B77" s="5">
        <f>1730</f>
        <v>1730</v>
      </c>
      <c r="C77" s="5">
        <f>5250</f>
        <v>5250</v>
      </c>
      <c r="D77" s="5">
        <f t="shared" si="2"/>
        <v>-3520</v>
      </c>
    </row>
    <row r="78" spans="1:4" x14ac:dyDescent="0.2">
      <c r="A78" s="3" t="s">
        <v>49</v>
      </c>
      <c r="B78" s="6">
        <f>(((((B72)+(B73))+(B74))+(B75))+(B76))+(B77)</f>
        <v>29491.89</v>
      </c>
      <c r="C78" s="6">
        <f>(((((C72)+(C73))+(C74))+(C75))+(C76))+(C77)</f>
        <v>39556</v>
      </c>
      <c r="D78" s="6">
        <f t="shared" si="2"/>
        <v>-10064.11</v>
      </c>
    </row>
    <row r="79" spans="1:4" x14ac:dyDescent="0.2">
      <c r="A79" s="3"/>
      <c r="B79" s="9"/>
      <c r="C79" s="9"/>
      <c r="D79" s="9"/>
    </row>
    <row r="80" spans="1:4" x14ac:dyDescent="0.2">
      <c r="A80" s="3" t="s">
        <v>48</v>
      </c>
      <c r="B80" s="7"/>
      <c r="C80" s="7"/>
      <c r="D80" s="5">
        <f>(B80)-(C80)</f>
        <v>0</v>
      </c>
    </row>
    <row r="81" spans="1:4" x14ac:dyDescent="0.2">
      <c r="A81" s="3" t="s">
        <v>47</v>
      </c>
      <c r="B81" s="5">
        <f>2626.05</f>
        <v>2626.05</v>
      </c>
      <c r="C81" s="5">
        <f>3387</f>
        <v>3387</v>
      </c>
      <c r="D81" s="5">
        <f>(B81)-(C81)</f>
        <v>-760.94999999999982</v>
      </c>
    </row>
    <row r="82" spans="1:4" x14ac:dyDescent="0.2">
      <c r="A82" s="3" t="s">
        <v>46</v>
      </c>
      <c r="B82" s="6">
        <f>(B80)+(B81)</f>
        <v>2626.05</v>
      </c>
      <c r="C82" s="6">
        <f>(C80)+(C81)</f>
        <v>3387</v>
      </c>
      <c r="D82" s="6">
        <f>(B82)-(C82)</f>
        <v>-760.94999999999982</v>
      </c>
    </row>
    <row r="83" spans="1:4" x14ac:dyDescent="0.2">
      <c r="A83" s="3"/>
      <c r="B83" s="9"/>
      <c r="C83" s="9"/>
      <c r="D83" s="9"/>
    </row>
    <row r="84" spans="1:4" x14ac:dyDescent="0.2">
      <c r="A84" s="3" t="s">
        <v>45</v>
      </c>
      <c r="B84" s="5">
        <f>28</f>
        <v>28</v>
      </c>
      <c r="C84" s="7"/>
      <c r="D84" s="5">
        <f t="shared" ref="D84:D93" si="3">(B84)-(C84)</f>
        <v>28</v>
      </c>
    </row>
    <row r="85" spans="1:4" x14ac:dyDescent="0.2">
      <c r="A85" s="3" t="s">
        <v>44</v>
      </c>
      <c r="B85" s="5">
        <f>386.69</f>
        <v>386.69</v>
      </c>
      <c r="C85" s="7"/>
      <c r="D85" s="5">
        <f t="shared" si="3"/>
        <v>386.69</v>
      </c>
    </row>
    <row r="86" spans="1:4" x14ac:dyDescent="0.2">
      <c r="A86" s="3" t="s">
        <v>135</v>
      </c>
      <c r="B86" s="7"/>
      <c r="C86" s="5">
        <f>350</f>
        <v>350</v>
      </c>
      <c r="D86" s="5">
        <f t="shared" si="3"/>
        <v>-350</v>
      </c>
    </row>
    <row r="87" spans="1:4" x14ac:dyDescent="0.2">
      <c r="A87" s="3" t="s">
        <v>43</v>
      </c>
      <c r="B87" s="5">
        <f>440</f>
        <v>440</v>
      </c>
      <c r="C87" s="5">
        <f>560</f>
        <v>560</v>
      </c>
      <c r="D87" s="5">
        <f t="shared" si="3"/>
        <v>-120</v>
      </c>
    </row>
    <row r="88" spans="1:4" x14ac:dyDescent="0.2">
      <c r="A88" s="3" t="s">
        <v>42</v>
      </c>
      <c r="B88" s="5">
        <f>512</f>
        <v>512</v>
      </c>
      <c r="C88" s="5">
        <f>900</f>
        <v>900</v>
      </c>
      <c r="D88" s="5">
        <f t="shared" si="3"/>
        <v>-388</v>
      </c>
    </row>
    <row r="89" spans="1:4" x14ac:dyDescent="0.2">
      <c r="A89" s="3" t="s">
        <v>41</v>
      </c>
      <c r="B89" s="5">
        <f>340.73</f>
        <v>340.73</v>
      </c>
      <c r="C89" s="5">
        <f>10</f>
        <v>10</v>
      </c>
      <c r="D89" s="5">
        <f t="shared" si="3"/>
        <v>330.73</v>
      </c>
    </row>
    <row r="90" spans="1:4" x14ac:dyDescent="0.2">
      <c r="A90" s="3" t="s">
        <v>40</v>
      </c>
      <c r="B90" s="5">
        <f>2630.28</f>
        <v>2630.28</v>
      </c>
      <c r="C90" s="5">
        <f>17</f>
        <v>17</v>
      </c>
      <c r="D90" s="5">
        <f t="shared" si="3"/>
        <v>2613.2800000000002</v>
      </c>
    </row>
    <row r="91" spans="1:4" x14ac:dyDescent="0.2">
      <c r="A91" s="3" t="s">
        <v>39</v>
      </c>
      <c r="B91" s="5">
        <f>1550</f>
        <v>1550</v>
      </c>
      <c r="C91" s="5">
        <f>3195</f>
        <v>3195</v>
      </c>
      <c r="D91" s="5">
        <f t="shared" si="3"/>
        <v>-1645</v>
      </c>
    </row>
    <row r="92" spans="1:4" x14ac:dyDescent="0.2">
      <c r="A92" s="3" t="s">
        <v>38</v>
      </c>
      <c r="B92" s="5">
        <f>265.03</f>
        <v>265.02999999999997</v>
      </c>
      <c r="C92" s="7"/>
      <c r="D92" s="5">
        <f t="shared" si="3"/>
        <v>265.02999999999997</v>
      </c>
    </row>
    <row r="93" spans="1:4" x14ac:dyDescent="0.2">
      <c r="A93" s="3" t="s">
        <v>37</v>
      </c>
      <c r="B93" s="6">
        <f>((((((((B84)+(B85))+(B86))+(B87))+(B88))+(B89))+(B90))+(B91))+(B92)</f>
        <v>6152.7300000000005</v>
      </c>
      <c r="C93" s="6">
        <f>((((((((C84)+(C85))+(C86))+(C87))+(C88))+(C89))+(C90))+(C91))+(C92)</f>
        <v>5032</v>
      </c>
      <c r="D93" s="6">
        <f t="shared" si="3"/>
        <v>1120.7300000000005</v>
      </c>
    </row>
    <row r="94" spans="1:4" x14ac:dyDescent="0.2">
      <c r="A94" s="3"/>
      <c r="B94" s="9"/>
      <c r="C94" s="9"/>
      <c r="D94" s="9"/>
    </row>
    <row r="95" spans="1:4" x14ac:dyDescent="0.2">
      <c r="A95" s="3" t="s">
        <v>36</v>
      </c>
      <c r="B95" s="6">
        <f>(((((B56)+(B66))+(B70))+(B78))+(B82))+(B93)</f>
        <v>198070.78</v>
      </c>
      <c r="C95" s="6">
        <f>(((((C56)+(C66))+(C70))+(C78))+(C82))+(C93)</f>
        <v>176653</v>
      </c>
      <c r="D95" s="6">
        <f>(B95)-(C95)</f>
        <v>21417.78</v>
      </c>
    </row>
    <row r="96" spans="1:4" hidden="1" x14ac:dyDescent="0.2">
      <c r="A96" s="3" t="s">
        <v>35</v>
      </c>
      <c r="B96" s="6">
        <f>(B44)-(B95)</f>
        <v>9359.6600000000326</v>
      </c>
      <c r="C96" s="6">
        <f>(C44)-(C95)</f>
        <v>7506</v>
      </c>
      <c r="D96" s="6">
        <f>(B96)-(C96)</f>
        <v>1853.6600000000326</v>
      </c>
    </row>
    <row r="97" spans="1:4" x14ac:dyDescent="0.2">
      <c r="A97" s="3"/>
      <c r="B97" s="11"/>
      <c r="C97" s="11"/>
      <c r="D97" s="11"/>
    </row>
    <row r="98" spans="1:4" ht="16" thickBot="1" x14ac:dyDescent="0.25">
      <c r="A98" s="3" t="s">
        <v>34</v>
      </c>
      <c r="B98" s="10">
        <f>(B96)+(0)</f>
        <v>9359.6600000000326</v>
      </c>
      <c r="C98" s="10">
        <f>(C96)+(0)</f>
        <v>7506</v>
      </c>
      <c r="D98" s="10">
        <f>(B98)-(C98)</f>
        <v>1853.6600000000326</v>
      </c>
    </row>
    <row r="99" spans="1:4" ht="16" thickTop="1" x14ac:dyDescent="0.2">
      <c r="A99" s="3"/>
      <c r="B99" s="4"/>
      <c r="C99" s="4"/>
      <c r="D99" s="4"/>
    </row>
  </sheetData>
  <mergeCells count="4">
    <mergeCell ref="B5:D5"/>
    <mergeCell ref="A1:D1"/>
    <mergeCell ref="A2:D2"/>
    <mergeCell ref="A3:D3"/>
  </mergeCells>
  <printOptions horizontalCentered="1" gridLines="1"/>
  <pageMargins left="0.7" right="0.7" top="0.75" bottom="0.75" header="0.3" footer="0.3"/>
  <pageSetup scale="87" fitToHeight="0" orientation="portrait" r:id="rId1"/>
  <headerFooter>
    <oddFooter>&amp;L  &amp;CBudget vs. Actuals Totals&amp;RPage &amp;P</oddFooter>
  </headerFooter>
  <rowBreaks count="2" manualBreakCount="2">
    <brk id="45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J105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BP17" sqref="BP17"/>
    </sheetView>
  </sheetViews>
  <sheetFormatPr baseColWidth="10" defaultColWidth="8.83203125" defaultRowHeight="15" x14ac:dyDescent="0.2"/>
  <cols>
    <col min="1" max="1" width="50.6640625" customWidth="1"/>
    <col min="2" max="85" width="12.6640625" customWidth="1"/>
  </cols>
  <sheetData>
    <row r="1" spans="1:85" ht="18" x14ac:dyDescent="0.2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</row>
    <row r="2" spans="1:85" ht="18" x14ac:dyDescent="0.2">
      <c r="A2" s="44" t="s">
        <v>141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</row>
    <row r="3" spans="1:85" x14ac:dyDescent="0.2">
      <c r="A3" s="46" t="s">
        <v>106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ht="16" thickBot="1" x14ac:dyDescent="0.25"/>
    <row r="5" spans="1:85" ht="15" customHeight="1" x14ac:dyDescent="0.2">
      <c r="A5" s="1"/>
      <c r="B5" s="49" t="s">
        <v>133</v>
      </c>
      <c r="C5" s="50"/>
      <c r="D5" s="51"/>
      <c r="E5" s="49" t="s">
        <v>132</v>
      </c>
      <c r="F5" s="50"/>
      <c r="G5" s="51"/>
      <c r="H5" s="49" t="s">
        <v>131</v>
      </c>
      <c r="I5" s="50"/>
      <c r="J5" s="51"/>
      <c r="K5" s="49" t="s">
        <v>130</v>
      </c>
      <c r="L5" s="50"/>
      <c r="M5" s="51"/>
      <c r="N5" s="49" t="s">
        <v>129</v>
      </c>
      <c r="O5" s="50"/>
      <c r="P5" s="51"/>
      <c r="Q5" s="49" t="s">
        <v>128</v>
      </c>
      <c r="R5" s="50"/>
      <c r="S5" s="51"/>
      <c r="T5" s="49" t="s">
        <v>127</v>
      </c>
      <c r="U5" s="50"/>
      <c r="V5" s="51"/>
      <c r="W5" s="49" t="s">
        <v>126</v>
      </c>
      <c r="X5" s="50"/>
      <c r="Y5" s="51"/>
      <c r="Z5" s="49" t="s">
        <v>142</v>
      </c>
      <c r="AA5" s="50"/>
      <c r="AB5" s="51"/>
      <c r="AC5" s="49" t="s">
        <v>125</v>
      </c>
      <c r="AD5" s="50"/>
      <c r="AE5" s="51"/>
      <c r="AF5" s="49" t="s">
        <v>124</v>
      </c>
      <c r="AG5" s="50"/>
      <c r="AH5" s="51"/>
      <c r="AI5" s="49" t="s">
        <v>123</v>
      </c>
      <c r="AJ5" s="50"/>
      <c r="AK5" s="51"/>
      <c r="AL5" s="49" t="s">
        <v>122</v>
      </c>
      <c r="AM5" s="50"/>
      <c r="AN5" s="51"/>
      <c r="AO5" s="49" t="s">
        <v>121</v>
      </c>
      <c r="AP5" s="50"/>
      <c r="AQ5" s="51"/>
      <c r="AR5" s="49" t="s">
        <v>120</v>
      </c>
      <c r="AS5" s="50"/>
      <c r="AT5" s="51"/>
      <c r="AU5" s="49" t="s">
        <v>119</v>
      </c>
      <c r="AV5" s="50"/>
      <c r="AW5" s="51"/>
      <c r="AX5" s="49" t="s">
        <v>118</v>
      </c>
      <c r="AY5" s="50"/>
      <c r="AZ5" s="51"/>
      <c r="BA5" s="49" t="s">
        <v>117</v>
      </c>
      <c r="BB5" s="50"/>
      <c r="BC5" s="51"/>
      <c r="BD5" s="49" t="s">
        <v>116</v>
      </c>
      <c r="BE5" s="50"/>
      <c r="BF5" s="51"/>
      <c r="BG5" s="49" t="s">
        <v>115</v>
      </c>
      <c r="BH5" s="50"/>
      <c r="BI5" s="51"/>
      <c r="BJ5" s="49" t="s">
        <v>114</v>
      </c>
      <c r="BK5" s="50"/>
      <c r="BL5" s="51"/>
      <c r="BM5" s="49" t="s">
        <v>113</v>
      </c>
      <c r="BN5" s="50"/>
      <c r="BO5" s="51"/>
      <c r="BP5" s="49" t="s">
        <v>112</v>
      </c>
      <c r="BQ5" s="50"/>
      <c r="BR5" s="51"/>
      <c r="BS5" s="49" t="s">
        <v>111</v>
      </c>
      <c r="BT5" s="50"/>
      <c r="BU5" s="51"/>
      <c r="BV5" s="49" t="s">
        <v>110</v>
      </c>
      <c r="BW5" s="50"/>
      <c r="BX5" s="51"/>
      <c r="BY5" s="49" t="s">
        <v>109</v>
      </c>
      <c r="BZ5" s="50"/>
      <c r="CA5" s="51"/>
      <c r="CB5" s="49" t="s">
        <v>108</v>
      </c>
      <c r="CC5" s="50"/>
      <c r="CD5" s="51"/>
      <c r="CE5" s="49" t="s">
        <v>107</v>
      </c>
      <c r="CF5" s="50"/>
      <c r="CG5" s="51"/>
    </row>
    <row r="6" spans="1:85" x14ac:dyDescent="0.2">
      <c r="A6" s="1"/>
      <c r="B6" s="17" t="s">
        <v>140</v>
      </c>
      <c r="C6" s="15" t="s">
        <v>139</v>
      </c>
      <c r="D6" s="18" t="s">
        <v>144</v>
      </c>
      <c r="E6" s="17" t="s">
        <v>140</v>
      </c>
      <c r="F6" s="15" t="s">
        <v>139</v>
      </c>
      <c r="G6" s="18" t="s">
        <v>144</v>
      </c>
      <c r="H6" s="17" t="s">
        <v>140</v>
      </c>
      <c r="I6" s="15" t="s">
        <v>139</v>
      </c>
      <c r="J6" s="18" t="s">
        <v>144</v>
      </c>
      <c r="K6" s="17" t="s">
        <v>140</v>
      </c>
      <c r="L6" s="15" t="s">
        <v>139</v>
      </c>
      <c r="M6" s="18" t="s">
        <v>144</v>
      </c>
      <c r="N6" s="17" t="s">
        <v>140</v>
      </c>
      <c r="O6" s="15" t="s">
        <v>139</v>
      </c>
      <c r="P6" s="18" t="s">
        <v>144</v>
      </c>
      <c r="Q6" s="17" t="s">
        <v>140</v>
      </c>
      <c r="R6" s="15" t="s">
        <v>139</v>
      </c>
      <c r="S6" s="18" t="s">
        <v>144</v>
      </c>
      <c r="T6" s="17" t="s">
        <v>140</v>
      </c>
      <c r="U6" s="15" t="s">
        <v>139</v>
      </c>
      <c r="V6" s="18" t="s">
        <v>144</v>
      </c>
      <c r="W6" s="17" t="s">
        <v>140</v>
      </c>
      <c r="X6" s="15" t="s">
        <v>139</v>
      </c>
      <c r="Y6" s="18" t="s">
        <v>144</v>
      </c>
      <c r="Z6" s="17" t="s">
        <v>140</v>
      </c>
      <c r="AA6" s="15" t="s">
        <v>139</v>
      </c>
      <c r="AB6" s="18" t="s">
        <v>144</v>
      </c>
      <c r="AC6" s="17" t="s">
        <v>140</v>
      </c>
      <c r="AD6" s="15" t="s">
        <v>139</v>
      </c>
      <c r="AE6" s="18" t="s">
        <v>144</v>
      </c>
      <c r="AF6" s="17" t="s">
        <v>140</v>
      </c>
      <c r="AG6" s="15" t="s">
        <v>139</v>
      </c>
      <c r="AH6" s="18" t="s">
        <v>144</v>
      </c>
      <c r="AI6" s="17" t="s">
        <v>140</v>
      </c>
      <c r="AJ6" s="15" t="s">
        <v>139</v>
      </c>
      <c r="AK6" s="18" t="s">
        <v>144</v>
      </c>
      <c r="AL6" s="17" t="s">
        <v>140</v>
      </c>
      <c r="AM6" s="15" t="s">
        <v>139</v>
      </c>
      <c r="AN6" s="18" t="s">
        <v>144</v>
      </c>
      <c r="AO6" s="17" t="s">
        <v>140</v>
      </c>
      <c r="AP6" s="15" t="s">
        <v>139</v>
      </c>
      <c r="AQ6" s="18" t="s">
        <v>144</v>
      </c>
      <c r="AR6" s="17" t="s">
        <v>140</v>
      </c>
      <c r="AS6" s="15" t="s">
        <v>139</v>
      </c>
      <c r="AT6" s="18" t="s">
        <v>144</v>
      </c>
      <c r="AU6" s="17" t="s">
        <v>140</v>
      </c>
      <c r="AV6" s="15" t="s">
        <v>139</v>
      </c>
      <c r="AW6" s="18" t="s">
        <v>144</v>
      </c>
      <c r="AX6" s="17" t="s">
        <v>140</v>
      </c>
      <c r="AY6" s="15" t="s">
        <v>139</v>
      </c>
      <c r="AZ6" s="18" t="s">
        <v>144</v>
      </c>
      <c r="BA6" s="17" t="s">
        <v>140</v>
      </c>
      <c r="BB6" s="15" t="s">
        <v>139</v>
      </c>
      <c r="BC6" s="18" t="s">
        <v>144</v>
      </c>
      <c r="BD6" s="17" t="s">
        <v>140</v>
      </c>
      <c r="BE6" s="15" t="s">
        <v>139</v>
      </c>
      <c r="BF6" s="18" t="s">
        <v>144</v>
      </c>
      <c r="BG6" s="17" t="s">
        <v>140</v>
      </c>
      <c r="BH6" s="15" t="s">
        <v>139</v>
      </c>
      <c r="BI6" s="18" t="s">
        <v>144</v>
      </c>
      <c r="BJ6" s="17" t="s">
        <v>140</v>
      </c>
      <c r="BK6" s="15" t="s">
        <v>139</v>
      </c>
      <c r="BL6" s="18" t="s">
        <v>144</v>
      </c>
      <c r="BM6" s="17" t="s">
        <v>140</v>
      </c>
      <c r="BN6" s="15" t="s">
        <v>139</v>
      </c>
      <c r="BO6" s="18" t="s">
        <v>144</v>
      </c>
      <c r="BP6" s="17" t="s">
        <v>140</v>
      </c>
      <c r="BQ6" s="15" t="s">
        <v>139</v>
      </c>
      <c r="BR6" s="18" t="s">
        <v>144</v>
      </c>
      <c r="BS6" s="17" t="s">
        <v>140</v>
      </c>
      <c r="BT6" s="15" t="s">
        <v>139</v>
      </c>
      <c r="BU6" s="18" t="s">
        <v>144</v>
      </c>
      <c r="BV6" s="17" t="s">
        <v>140</v>
      </c>
      <c r="BW6" s="15" t="s">
        <v>139</v>
      </c>
      <c r="BX6" s="18" t="s">
        <v>144</v>
      </c>
      <c r="BY6" s="17" t="s">
        <v>140</v>
      </c>
      <c r="BZ6" s="15" t="s">
        <v>139</v>
      </c>
      <c r="CA6" s="18" t="s">
        <v>144</v>
      </c>
      <c r="CB6" s="17" t="s">
        <v>140</v>
      </c>
      <c r="CC6" s="15" t="s">
        <v>139</v>
      </c>
      <c r="CD6" s="18" t="s">
        <v>144</v>
      </c>
      <c r="CE6" s="17" t="s">
        <v>140</v>
      </c>
      <c r="CF6" s="15" t="s">
        <v>139</v>
      </c>
      <c r="CG6" s="18" t="s">
        <v>144</v>
      </c>
    </row>
    <row r="7" spans="1:85" x14ac:dyDescent="0.2">
      <c r="A7" s="3" t="s">
        <v>105</v>
      </c>
      <c r="B7" s="19"/>
      <c r="C7" s="16"/>
      <c r="D7" s="20"/>
      <c r="E7" s="19"/>
      <c r="F7" s="16"/>
      <c r="G7" s="20"/>
      <c r="H7" s="19"/>
      <c r="I7" s="16"/>
      <c r="J7" s="20"/>
      <c r="K7" s="19"/>
      <c r="L7" s="16"/>
      <c r="M7" s="20"/>
      <c r="N7" s="19"/>
      <c r="O7" s="16"/>
      <c r="P7" s="20"/>
      <c r="Q7" s="19"/>
      <c r="R7" s="16"/>
      <c r="S7" s="20"/>
      <c r="T7" s="19"/>
      <c r="U7" s="16"/>
      <c r="V7" s="20"/>
      <c r="W7" s="19"/>
      <c r="X7" s="16"/>
      <c r="Y7" s="20"/>
      <c r="Z7" s="19"/>
      <c r="AA7" s="16"/>
      <c r="AB7" s="20"/>
      <c r="AC7" s="19"/>
      <c r="AD7" s="16"/>
      <c r="AE7" s="20"/>
      <c r="AF7" s="19"/>
      <c r="AG7" s="16"/>
      <c r="AH7" s="20"/>
      <c r="AI7" s="19"/>
      <c r="AJ7" s="16"/>
      <c r="AK7" s="20"/>
      <c r="AL7" s="19"/>
      <c r="AM7" s="16"/>
      <c r="AN7" s="20"/>
      <c r="AO7" s="19"/>
      <c r="AP7" s="16"/>
      <c r="AQ7" s="20"/>
      <c r="AR7" s="19"/>
      <c r="AS7" s="16"/>
      <c r="AT7" s="20"/>
      <c r="AU7" s="19"/>
      <c r="AV7" s="16"/>
      <c r="AW7" s="20"/>
      <c r="AX7" s="19"/>
      <c r="AY7" s="16"/>
      <c r="AZ7" s="20"/>
      <c r="BA7" s="19"/>
      <c r="BB7" s="16"/>
      <c r="BC7" s="20"/>
      <c r="BD7" s="19"/>
      <c r="BE7" s="16"/>
      <c r="BF7" s="20"/>
      <c r="BG7" s="19"/>
      <c r="BH7" s="16"/>
      <c r="BI7" s="20"/>
      <c r="BJ7" s="19"/>
      <c r="BK7" s="16"/>
      <c r="BL7" s="20"/>
      <c r="BM7" s="19"/>
      <c r="BN7" s="16"/>
      <c r="BO7" s="20"/>
      <c r="BP7" s="19"/>
      <c r="BQ7" s="16"/>
      <c r="BR7" s="20"/>
      <c r="BS7" s="19"/>
      <c r="BT7" s="16"/>
      <c r="BU7" s="20"/>
      <c r="BV7" s="19"/>
      <c r="BW7" s="16"/>
      <c r="BX7" s="20"/>
      <c r="BY7" s="19"/>
      <c r="BZ7" s="16"/>
      <c r="CA7" s="20"/>
      <c r="CB7" s="19"/>
      <c r="CC7" s="16"/>
      <c r="CD7" s="20"/>
      <c r="CE7" s="19"/>
      <c r="CF7" s="16"/>
      <c r="CG7" s="20"/>
    </row>
    <row r="8" spans="1:85" x14ac:dyDescent="0.2">
      <c r="A8" s="3" t="s">
        <v>104</v>
      </c>
      <c r="B8" s="19"/>
      <c r="C8" s="16"/>
      <c r="D8" s="23"/>
      <c r="E8" s="21"/>
      <c r="F8" s="22"/>
      <c r="G8" s="23"/>
      <c r="H8" s="19"/>
      <c r="I8" s="16"/>
      <c r="J8" s="23"/>
      <c r="K8" s="19"/>
      <c r="L8" s="16"/>
      <c r="M8" s="23"/>
      <c r="N8" s="21"/>
      <c r="O8" s="22"/>
      <c r="P8" s="23"/>
      <c r="Q8" s="19"/>
      <c r="R8" s="16"/>
      <c r="S8" s="23"/>
      <c r="T8" s="19"/>
      <c r="U8" s="16"/>
      <c r="V8" s="23"/>
      <c r="W8" s="21"/>
      <c r="X8" s="22"/>
      <c r="Y8" s="23"/>
      <c r="Z8" s="19"/>
      <c r="AA8" s="16"/>
      <c r="AB8" s="23"/>
      <c r="AC8" s="21"/>
      <c r="AD8" s="22"/>
      <c r="AE8" s="23"/>
      <c r="AF8" s="19"/>
      <c r="AG8" s="16"/>
      <c r="AH8" s="23"/>
      <c r="AI8" s="21"/>
      <c r="AJ8" s="22"/>
      <c r="AK8" s="23"/>
      <c r="AL8" s="19"/>
      <c r="AM8" s="16"/>
      <c r="AN8" s="23"/>
      <c r="AO8" s="21"/>
      <c r="AP8" s="22"/>
      <c r="AQ8" s="23"/>
      <c r="AR8" s="19"/>
      <c r="AS8" s="16"/>
      <c r="AT8" s="23"/>
      <c r="AU8" s="21"/>
      <c r="AV8" s="22"/>
      <c r="AW8" s="23"/>
      <c r="AX8" s="19"/>
      <c r="AY8" s="16"/>
      <c r="AZ8" s="23"/>
      <c r="BA8" s="21"/>
      <c r="BB8" s="22"/>
      <c r="BC8" s="23"/>
      <c r="BD8" s="19"/>
      <c r="BE8" s="16"/>
      <c r="BF8" s="23"/>
      <c r="BG8" s="21"/>
      <c r="BH8" s="22"/>
      <c r="BI8" s="23"/>
      <c r="BJ8" s="19"/>
      <c r="BK8" s="16"/>
      <c r="BL8" s="23"/>
      <c r="BM8" s="19"/>
      <c r="BN8" s="16"/>
      <c r="BO8" s="23"/>
      <c r="BP8" s="19"/>
      <c r="BQ8" s="16"/>
      <c r="BR8" s="23"/>
      <c r="BS8" s="19"/>
      <c r="BT8" s="16"/>
      <c r="BU8" s="23"/>
      <c r="BV8" s="19"/>
      <c r="BW8" s="16"/>
      <c r="BX8" s="23"/>
      <c r="BY8" s="19"/>
      <c r="BZ8" s="16"/>
      <c r="CA8" s="23"/>
      <c r="CB8" s="21"/>
      <c r="CC8" s="22"/>
      <c r="CD8" s="23"/>
      <c r="CE8" s="21"/>
      <c r="CF8" s="22"/>
      <c r="CG8" s="23"/>
    </row>
    <row r="9" spans="1:85" x14ac:dyDescent="0.2">
      <c r="A9" s="3" t="s">
        <v>103</v>
      </c>
      <c r="B9" s="21"/>
      <c r="C9" s="16"/>
      <c r="D9" s="23"/>
      <c r="E9" s="21">
        <f>110</f>
        <v>110</v>
      </c>
      <c r="F9" s="22"/>
      <c r="G9" s="23">
        <f>(E9)-(F9)</f>
        <v>110</v>
      </c>
      <c r="H9" s="21">
        <f>100</f>
        <v>100</v>
      </c>
      <c r="I9" s="16"/>
      <c r="J9" s="23">
        <f>(H9)-(I9)</f>
        <v>100</v>
      </c>
      <c r="K9" s="21"/>
      <c r="L9" s="16"/>
      <c r="M9" s="23"/>
      <c r="N9" s="21"/>
      <c r="O9" s="22"/>
      <c r="P9" s="23"/>
      <c r="Q9" s="21">
        <f>(((E9)+(H9))+(K9))+(N9)</f>
        <v>210</v>
      </c>
      <c r="R9" s="16"/>
      <c r="S9" s="23">
        <f>(Q9)-(R9)</f>
        <v>210</v>
      </c>
      <c r="T9" s="21"/>
      <c r="U9" s="16"/>
      <c r="V9" s="23"/>
      <c r="W9" s="21"/>
      <c r="X9" s="22"/>
      <c r="Y9" s="23"/>
      <c r="Z9" s="21"/>
      <c r="AA9" s="16"/>
      <c r="AB9" s="23"/>
      <c r="AC9" s="21"/>
      <c r="AD9" s="22"/>
      <c r="AE9" s="23"/>
      <c r="AF9" s="21"/>
      <c r="AG9" s="16"/>
      <c r="AH9" s="23"/>
      <c r="AI9" s="21"/>
      <c r="AJ9" s="22"/>
      <c r="AK9" s="23"/>
      <c r="AL9" s="21"/>
      <c r="AM9" s="16"/>
      <c r="AN9" s="23"/>
      <c r="AO9" s="21"/>
      <c r="AP9" s="22"/>
      <c r="AQ9" s="23"/>
      <c r="AR9" s="21"/>
      <c r="AS9" s="16"/>
      <c r="AT9" s="23"/>
      <c r="AU9" s="21"/>
      <c r="AV9" s="22"/>
      <c r="AW9" s="23"/>
      <c r="AX9" s="21"/>
      <c r="AY9" s="16"/>
      <c r="AZ9" s="23"/>
      <c r="BA9" s="21"/>
      <c r="BB9" s="22"/>
      <c r="BC9" s="23"/>
      <c r="BD9" s="21">
        <f>20</f>
        <v>20</v>
      </c>
      <c r="BE9" s="16"/>
      <c r="BF9" s="23">
        <f>(BD9)-(BE9)</f>
        <v>20</v>
      </c>
      <c r="BG9" s="21">
        <f>(((((((((B9)+(Q9))+(AC9))+(AL9))+(AO9))+(AR9))+(AU9))+(AX9))+(BA9))+(BD9)</f>
        <v>230</v>
      </c>
      <c r="BH9" s="22"/>
      <c r="BI9" s="23">
        <f>(BG9)-(BH9)</f>
        <v>230</v>
      </c>
      <c r="BJ9" s="21">
        <f>213.83</f>
        <v>213.83</v>
      </c>
      <c r="BK9" s="16"/>
      <c r="BL9" s="23">
        <f>(BJ9)-(BK9)</f>
        <v>213.83</v>
      </c>
      <c r="BM9" s="19"/>
      <c r="BN9" s="16"/>
      <c r="BO9" s="23"/>
      <c r="BP9" s="21">
        <f>2750.61</f>
        <v>2750.61</v>
      </c>
      <c r="BQ9" s="22">
        <f>4431</f>
        <v>4431</v>
      </c>
      <c r="BR9" s="23">
        <f>(BP9)-(BQ9)</f>
        <v>-1680.3899999999999</v>
      </c>
      <c r="BS9" s="19"/>
      <c r="BT9" s="16"/>
      <c r="BU9" s="23"/>
      <c r="BV9" s="21">
        <f>1065.99</f>
        <v>1065.99</v>
      </c>
      <c r="BW9" s="22">
        <f>1500</f>
        <v>1500</v>
      </c>
      <c r="BX9" s="23">
        <f>(BV9)-(BW9)</f>
        <v>-434.01</v>
      </c>
      <c r="BY9" s="21">
        <f>726</f>
        <v>726</v>
      </c>
      <c r="BZ9" s="22">
        <f>730</f>
        <v>730</v>
      </c>
      <c r="CA9" s="23">
        <f>(BY9)-(BZ9)</f>
        <v>-4</v>
      </c>
      <c r="CB9" s="21">
        <f t="shared" ref="CB9:CC11" si="0">((((BM9)+(BP9))+(BS9))+(BV9))+(BY9)</f>
        <v>4542.6000000000004</v>
      </c>
      <c r="CC9" s="22">
        <f t="shared" si="0"/>
        <v>6661</v>
      </c>
      <c r="CD9" s="23">
        <f>(CB9)-(CC9)</f>
        <v>-2118.3999999999996</v>
      </c>
      <c r="CE9" s="21">
        <f t="shared" ref="CE9:CF11" si="1">((BG9)+(BJ9))+(CB9)</f>
        <v>4986.43</v>
      </c>
      <c r="CF9" s="22">
        <f t="shared" si="1"/>
        <v>6661</v>
      </c>
      <c r="CG9" s="23">
        <f>(CE9)-(CF9)</f>
        <v>-1674.5699999999997</v>
      </c>
    </row>
    <row r="10" spans="1:85" x14ac:dyDescent="0.2">
      <c r="A10" s="3" t="s">
        <v>102</v>
      </c>
      <c r="B10" s="19"/>
      <c r="C10" s="16"/>
      <c r="D10" s="23"/>
      <c r="E10" s="21"/>
      <c r="F10" s="22"/>
      <c r="G10" s="23"/>
      <c r="H10" s="19"/>
      <c r="I10" s="16"/>
      <c r="J10" s="23"/>
      <c r="K10" s="19"/>
      <c r="L10" s="16"/>
      <c r="M10" s="23"/>
      <c r="N10" s="21"/>
      <c r="O10" s="22"/>
      <c r="P10" s="23"/>
      <c r="Q10" s="19"/>
      <c r="R10" s="16"/>
      <c r="S10" s="23"/>
      <c r="T10" s="19"/>
      <c r="U10" s="16"/>
      <c r="V10" s="23"/>
      <c r="W10" s="21"/>
      <c r="X10" s="22"/>
      <c r="Y10" s="23"/>
      <c r="Z10" s="19"/>
      <c r="AA10" s="16"/>
      <c r="AB10" s="23"/>
      <c r="AC10" s="21"/>
      <c r="AD10" s="22"/>
      <c r="AE10" s="23"/>
      <c r="AF10" s="19"/>
      <c r="AG10" s="16"/>
      <c r="AH10" s="23"/>
      <c r="AI10" s="21"/>
      <c r="AJ10" s="22"/>
      <c r="AK10" s="23"/>
      <c r="AL10" s="19"/>
      <c r="AM10" s="16"/>
      <c r="AN10" s="23"/>
      <c r="AO10" s="21"/>
      <c r="AP10" s="22"/>
      <c r="AQ10" s="23"/>
      <c r="AR10" s="19"/>
      <c r="AS10" s="16"/>
      <c r="AT10" s="23"/>
      <c r="AU10" s="21">
        <f>10000</f>
        <v>10000</v>
      </c>
      <c r="AV10" s="22">
        <f>10000</f>
        <v>10000</v>
      </c>
      <c r="AW10" s="23"/>
      <c r="AX10" s="19"/>
      <c r="AY10" s="16"/>
      <c r="AZ10" s="23"/>
      <c r="BA10" s="21"/>
      <c r="BB10" s="22"/>
      <c r="BC10" s="23"/>
      <c r="BD10" s="19"/>
      <c r="BE10" s="16"/>
      <c r="BF10" s="23"/>
      <c r="BG10" s="21">
        <f>(((((((((B10)+(Q10))+(AC10))+(AL10))+(AO10))+(AR10))+(AU10))+(AX10))+(BA10))+(BD10)</f>
        <v>10000</v>
      </c>
      <c r="BH10" s="22">
        <f>(((((((((C10)+(R10))+(AD10))+(AM10))+(AP10))+(AS10))+(AV10))+(AY10))+(BB10))+(BE10)</f>
        <v>10000</v>
      </c>
      <c r="BI10" s="23"/>
      <c r="BJ10" s="21">
        <f>5.45</f>
        <v>5.45</v>
      </c>
      <c r="BK10" s="16"/>
      <c r="BL10" s="23">
        <f>(BJ10)-(BK10)</f>
        <v>5.45</v>
      </c>
      <c r="BM10" s="19"/>
      <c r="BN10" s="16"/>
      <c r="BO10" s="23"/>
      <c r="BP10" s="21">
        <f>7009.29</f>
        <v>7009.29</v>
      </c>
      <c r="BQ10" s="22">
        <f>7000</f>
        <v>7000</v>
      </c>
      <c r="BR10" s="23">
        <f>(BP10)-(BQ10)</f>
        <v>9.2899999999999636</v>
      </c>
      <c r="BS10" s="19"/>
      <c r="BT10" s="16"/>
      <c r="BU10" s="23"/>
      <c r="BV10" s="21">
        <f>34.75</f>
        <v>34.75</v>
      </c>
      <c r="BW10" s="16"/>
      <c r="BX10" s="23">
        <f>(BV10)-(BW10)</f>
        <v>34.75</v>
      </c>
      <c r="BY10" s="19"/>
      <c r="BZ10" s="16"/>
      <c r="CA10" s="23"/>
      <c r="CB10" s="21">
        <f t="shared" si="0"/>
        <v>7044.04</v>
      </c>
      <c r="CC10" s="22">
        <f t="shared" si="0"/>
        <v>7000</v>
      </c>
      <c r="CD10" s="23">
        <f>(CB10)-(CC10)</f>
        <v>44.039999999999964</v>
      </c>
      <c r="CE10" s="21">
        <f t="shared" si="1"/>
        <v>17049.490000000002</v>
      </c>
      <c r="CF10" s="22">
        <f t="shared" si="1"/>
        <v>17000</v>
      </c>
      <c r="CG10" s="23">
        <f>(CE10)-(CF10)</f>
        <v>49.490000000001601</v>
      </c>
    </row>
    <row r="11" spans="1:85" x14ac:dyDescent="0.2">
      <c r="A11" s="3" t="s">
        <v>101</v>
      </c>
      <c r="B11" s="24">
        <f>((B8)+(B9))+(B10)</f>
        <v>0</v>
      </c>
      <c r="C11" s="6">
        <f>((C8)+(C9))+(C10)</f>
        <v>0</v>
      </c>
      <c r="D11" s="25">
        <f>(B11)-(C11)</f>
        <v>0</v>
      </c>
      <c r="E11" s="24">
        <f>((E8)+(E9))+(E10)</f>
        <v>110</v>
      </c>
      <c r="F11" s="6">
        <f>((F8)+(F9))+(F10)</f>
        <v>0</v>
      </c>
      <c r="G11" s="25">
        <f>(E11)-(F11)</f>
        <v>110</v>
      </c>
      <c r="H11" s="24">
        <f>((H8)+(H9))+(H10)</f>
        <v>100</v>
      </c>
      <c r="I11" s="6">
        <f>((I8)+(I9))+(I10)</f>
        <v>0</v>
      </c>
      <c r="J11" s="25">
        <f>(H11)-(I11)</f>
        <v>100</v>
      </c>
      <c r="K11" s="24">
        <f>((K8)+(K9))+(K10)</f>
        <v>0</v>
      </c>
      <c r="L11" s="6">
        <f>((L8)+(L9))+(L10)</f>
        <v>0</v>
      </c>
      <c r="M11" s="25">
        <f>(K11)-(L11)</f>
        <v>0</v>
      </c>
      <c r="N11" s="24">
        <f>((N8)+(N9))+(N10)</f>
        <v>0</v>
      </c>
      <c r="O11" s="6">
        <f>((O8)+(O9))+(O10)</f>
        <v>0</v>
      </c>
      <c r="P11" s="25">
        <f>(N11)-(O11)</f>
        <v>0</v>
      </c>
      <c r="Q11" s="24">
        <f>(((E11)+(H11))+(K11))+(N11)</f>
        <v>210</v>
      </c>
      <c r="R11" s="6">
        <f>(((F11)+(I11))+(L11))+(O11)</f>
        <v>0</v>
      </c>
      <c r="S11" s="25">
        <f>(Q11)-(R11)</f>
        <v>210</v>
      </c>
      <c r="T11" s="24">
        <f>((T8)+(T9))+(T10)</f>
        <v>0</v>
      </c>
      <c r="U11" s="6">
        <f>((U8)+(U9))+(U10)</f>
        <v>0</v>
      </c>
      <c r="V11" s="25">
        <f>(T11)-(U11)</f>
        <v>0</v>
      </c>
      <c r="W11" s="24">
        <f>((W8)+(W9))+(W10)</f>
        <v>0</v>
      </c>
      <c r="X11" s="6">
        <f>((X8)+(X9))+(X10)</f>
        <v>0</v>
      </c>
      <c r="Y11" s="25">
        <f>(W11)-(X11)</f>
        <v>0</v>
      </c>
      <c r="Z11" s="24">
        <f>((Z8)+(Z9))+(Z10)</f>
        <v>0</v>
      </c>
      <c r="AA11" s="6">
        <f>((AA8)+(AA9))+(AA10)</f>
        <v>0</v>
      </c>
      <c r="AB11" s="25">
        <f>(Z11)-(AA11)</f>
        <v>0</v>
      </c>
      <c r="AC11" s="24">
        <f>((T11)+(W11))+(Z11)</f>
        <v>0</v>
      </c>
      <c r="AD11" s="6">
        <f>((U11)+(X11))+(AA11)</f>
        <v>0</v>
      </c>
      <c r="AE11" s="25">
        <f>(AC11)-(AD11)</f>
        <v>0</v>
      </c>
      <c r="AF11" s="24">
        <f>((AF8)+(AF9))+(AF10)</f>
        <v>0</v>
      </c>
      <c r="AG11" s="6">
        <f>((AG8)+(AG9))+(AG10)</f>
        <v>0</v>
      </c>
      <c r="AH11" s="25">
        <f>(AF11)-(AG11)</f>
        <v>0</v>
      </c>
      <c r="AI11" s="24">
        <f>((AI8)+(AI9))+(AI10)</f>
        <v>0</v>
      </c>
      <c r="AJ11" s="6">
        <f>((AJ8)+(AJ9))+(AJ10)</f>
        <v>0</v>
      </c>
      <c r="AK11" s="25">
        <f>(AI11)-(AJ11)</f>
        <v>0</v>
      </c>
      <c r="AL11" s="24">
        <f>(AF11)+(AI11)</f>
        <v>0</v>
      </c>
      <c r="AM11" s="6">
        <f>(AG11)+(AJ11)</f>
        <v>0</v>
      </c>
      <c r="AN11" s="25">
        <f>(AL11)-(AM11)</f>
        <v>0</v>
      </c>
      <c r="AO11" s="24">
        <f>((AO8)+(AO9))+(AO10)</f>
        <v>0</v>
      </c>
      <c r="AP11" s="6">
        <f>((AP8)+(AP9))+(AP10)</f>
        <v>0</v>
      </c>
      <c r="AQ11" s="25">
        <f>(AO11)-(AP11)</f>
        <v>0</v>
      </c>
      <c r="AR11" s="24">
        <f>((AR8)+(AR9))+(AR10)</f>
        <v>0</v>
      </c>
      <c r="AS11" s="6">
        <f>((AS8)+(AS9))+(AS10)</f>
        <v>0</v>
      </c>
      <c r="AT11" s="25">
        <f>(AR11)-(AS11)</f>
        <v>0</v>
      </c>
      <c r="AU11" s="24">
        <f>((AU8)+(AU9))+(AU10)</f>
        <v>10000</v>
      </c>
      <c r="AV11" s="6">
        <f>((AV8)+(AV9))+(AV10)</f>
        <v>10000</v>
      </c>
      <c r="AW11" s="25">
        <f>(AU11)-(AV11)</f>
        <v>0</v>
      </c>
      <c r="AX11" s="24">
        <f>((AX8)+(AX9))+(AX10)</f>
        <v>0</v>
      </c>
      <c r="AY11" s="6">
        <f>((AY8)+(AY9))+(AY10)</f>
        <v>0</v>
      </c>
      <c r="AZ11" s="25">
        <f>(AX11)-(AY11)</f>
        <v>0</v>
      </c>
      <c r="BA11" s="24">
        <f>((BA8)+(BA9))+(BA10)</f>
        <v>0</v>
      </c>
      <c r="BB11" s="6">
        <f>((BB8)+(BB9))+(BB10)</f>
        <v>0</v>
      </c>
      <c r="BC11" s="25">
        <f>(BA11)-(BB11)</f>
        <v>0</v>
      </c>
      <c r="BD11" s="24">
        <f>((BD8)+(BD9))+(BD10)</f>
        <v>20</v>
      </c>
      <c r="BE11" s="6">
        <f>((BE8)+(BE9))+(BE10)</f>
        <v>0</v>
      </c>
      <c r="BF11" s="25">
        <f>(BD11)-(BE11)</f>
        <v>20</v>
      </c>
      <c r="BG11" s="24">
        <f>(((((((((B11)+(Q11))+(AC11))+(AL11))+(AO11))+(AR11))+(AU11))+(AX11))+(BA11))+(BD11)</f>
        <v>10230</v>
      </c>
      <c r="BH11" s="6">
        <f>(((((((((C11)+(R11))+(AD11))+(AM11))+(AP11))+(AS11))+(AV11))+(AY11))+(BB11))+(BE11)</f>
        <v>10000</v>
      </c>
      <c r="BI11" s="25">
        <f>(BG11)-(BH11)</f>
        <v>230</v>
      </c>
      <c r="BJ11" s="24">
        <f>((BJ8)+(BJ9))+(BJ10)</f>
        <v>219.28</v>
      </c>
      <c r="BK11" s="6">
        <f>((BK8)+(BK9))+(BK10)</f>
        <v>0</v>
      </c>
      <c r="BL11" s="25">
        <f>(BJ11)-(BK11)</f>
        <v>219.28</v>
      </c>
      <c r="BM11" s="24">
        <f>((BM8)+(BM9))+(BM10)</f>
        <v>0</v>
      </c>
      <c r="BN11" s="6">
        <f>((BN8)+(BN9))+(BN10)</f>
        <v>0</v>
      </c>
      <c r="BO11" s="25">
        <f>(BM11)-(BN11)</f>
        <v>0</v>
      </c>
      <c r="BP11" s="24">
        <f>((BP8)+(BP9))+(BP10)</f>
        <v>9759.9</v>
      </c>
      <c r="BQ11" s="6">
        <f>((BQ8)+(BQ9))+(BQ10)</f>
        <v>11431</v>
      </c>
      <c r="BR11" s="25">
        <f>(BP11)-(BQ11)</f>
        <v>-1671.1000000000004</v>
      </c>
      <c r="BS11" s="24">
        <f>((BS8)+(BS9))+(BS10)</f>
        <v>0</v>
      </c>
      <c r="BT11" s="6">
        <f>((BT8)+(BT9))+(BT10)</f>
        <v>0</v>
      </c>
      <c r="BU11" s="25">
        <f>(BS11)-(BT11)</f>
        <v>0</v>
      </c>
      <c r="BV11" s="24">
        <f>((BV8)+(BV9))+(BV10)</f>
        <v>1100.74</v>
      </c>
      <c r="BW11" s="6">
        <f>((BW8)+(BW9))+(BW10)</f>
        <v>1500</v>
      </c>
      <c r="BX11" s="25">
        <f>(BV11)-(BW11)</f>
        <v>-399.26</v>
      </c>
      <c r="BY11" s="24">
        <f>((BY8)+(BY9))+(BY10)</f>
        <v>726</v>
      </c>
      <c r="BZ11" s="6">
        <f>((BZ8)+(BZ9))+(BZ10)</f>
        <v>730</v>
      </c>
      <c r="CA11" s="25">
        <f>(BY11)-(BZ11)</f>
        <v>-4</v>
      </c>
      <c r="CB11" s="24">
        <f t="shared" si="0"/>
        <v>11586.64</v>
      </c>
      <c r="CC11" s="6">
        <f t="shared" si="0"/>
        <v>13661</v>
      </c>
      <c r="CD11" s="25">
        <f>(CB11)-(CC11)</f>
        <v>-2074.3600000000006</v>
      </c>
      <c r="CE11" s="24">
        <f t="shared" si="1"/>
        <v>22035.919999999998</v>
      </c>
      <c r="CF11" s="6">
        <f t="shared" si="1"/>
        <v>23661</v>
      </c>
      <c r="CG11" s="25">
        <f>(CE11)-(CF11)</f>
        <v>-1625.0800000000017</v>
      </c>
    </row>
    <row r="12" spans="1:85" x14ac:dyDescent="0.2">
      <c r="A12" s="3"/>
      <c r="B12" s="26"/>
      <c r="C12" s="9"/>
      <c r="D12" s="27"/>
      <c r="E12" s="26"/>
      <c r="F12" s="9"/>
      <c r="G12" s="27"/>
      <c r="H12" s="26"/>
      <c r="I12" s="9"/>
      <c r="J12" s="27"/>
      <c r="K12" s="26"/>
      <c r="L12" s="9"/>
      <c r="M12" s="27"/>
      <c r="N12" s="26"/>
      <c r="O12" s="9"/>
      <c r="P12" s="27"/>
      <c r="Q12" s="26"/>
      <c r="R12" s="9"/>
      <c r="S12" s="27"/>
      <c r="T12" s="26"/>
      <c r="U12" s="9"/>
      <c r="V12" s="27"/>
      <c r="W12" s="26"/>
      <c r="X12" s="9"/>
      <c r="Y12" s="27"/>
      <c r="Z12" s="26"/>
      <c r="AA12" s="9"/>
      <c r="AB12" s="27"/>
      <c r="AC12" s="26"/>
      <c r="AD12" s="9"/>
      <c r="AE12" s="27"/>
      <c r="AF12" s="26"/>
      <c r="AG12" s="9"/>
      <c r="AH12" s="27"/>
      <c r="AI12" s="26"/>
      <c r="AJ12" s="9"/>
      <c r="AK12" s="27"/>
      <c r="AL12" s="26"/>
      <c r="AM12" s="9"/>
      <c r="AN12" s="27"/>
      <c r="AO12" s="26"/>
      <c r="AP12" s="9"/>
      <c r="AQ12" s="27"/>
      <c r="AR12" s="26"/>
      <c r="AS12" s="9"/>
      <c r="AT12" s="27"/>
      <c r="AU12" s="26"/>
      <c r="AV12" s="9"/>
      <c r="AW12" s="27"/>
      <c r="AX12" s="26"/>
      <c r="AY12" s="9"/>
      <c r="AZ12" s="27"/>
      <c r="BA12" s="26"/>
      <c r="BB12" s="9"/>
      <c r="BC12" s="27"/>
      <c r="BD12" s="26"/>
      <c r="BE12" s="9"/>
      <c r="BF12" s="27"/>
      <c r="BG12" s="26"/>
      <c r="BH12" s="9"/>
      <c r="BI12" s="27"/>
      <c r="BJ12" s="26"/>
      <c r="BK12" s="9"/>
      <c r="BL12" s="27"/>
      <c r="BM12" s="26"/>
      <c r="BN12" s="9"/>
      <c r="BO12" s="27"/>
      <c r="BP12" s="26"/>
      <c r="BQ12" s="9"/>
      <c r="BR12" s="27"/>
      <c r="BS12" s="26"/>
      <c r="BT12" s="9"/>
      <c r="BU12" s="27"/>
      <c r="BV12" s="26"/>
      <c r="BW12" s="9"/>
      <c r="BX12" s="27"/>
      <c r="BY12" s="26"/>
      <c r="BZ12" s="9"/>
      <c r="CA12" s="27"/>
      <c r="CB12" s="26"/>
      <c r="CC12" s="9"/>
      <c r="CD12" s="27"/>
      <c r="CE12" s="26"/>
      <c r="CF12" s="9"/>
      <c r="CG12" s="27"/>
    </row>
    <row r="13" spans="1:85" x14ac:dyDescent="0.2">
      <c r="A13" s="3" t="s">
        <v>100</v>
      </c>
      <c r="B13" s="19"/>
      <c r="C13" s="16"/>
      <c r="D13" s="23"/>
      <c r="E13" s="21"/>
      <c r="F13" s="22"/>
      <c r="G13" s="23"/>
      <c r="H13" s="19"/>
      <c r="I13" s="16"/>
      <c r="J13" s="23"/>
      <c r="K13" s="19"/>
      <c r="L13" s="16"/>
      <c r="M13" s="23"/>
      <c r="N13" s="21"/>
      <c r="O13" s="22"/>
      <c r="P13" s="23"/>
      <c r="Q13" s="19"/>
      <c r="R13" s="16"/>
      <c r="S13" s="23"/>
      <c r="T13" s="19"/>
      <c r="U13" s="16"/>
      <c r="V13" s="23"/>
      <c r="W13" s="21"/>
      <c r="X13" s="22"/>
      <c r="Y13" s="23"/>
      <c r="Z13" s="19"/>
      <c r="AA13" s="16"/>
      <c r="AB13" s="23"/>
      <c r="AC13" s="21"/>
      <c r="AD13" s="22"/>
      <c r="AE13" s="23"/>
      <c r="AF13" s="19"/>
      <c r="AG13" s="16"/>
      <c r="AH13" s="23"/>
      <c r="AI13" s="21"/>
      <c r="AJ13" s="22"/>
      <c r="AK13" s="23"/>
      <c r="AL13" s="19"/>
      <c r="AM13" s="16"/>
      <c r="AN13" s="23"/>
      <c r="AO13" s="21"/>
      <c r="AP13" s="22"/>
      <c r="AQ13" s="23"/>
      <c r="AR13" s="19"/>
      <c r="AS13" s="16"/>
      <c r="AT13" s="23"/>
      <c r="AU13" s="21"/>
      <c r="AV13" s="22"/>
      <c r="AW13" s="23"/>
      <c r="AX13" s="19"/>
      <c r="AY13" s="16"/>
      <c r="AZ13" s="23"/>
      <c r="BA13" s="21"/>
      <c r="BB13" s="22"/>
      <c r="BC13" s="23"/>
      <c r="BD13" s="19"/>
      <c r="BE13" s="16"/>
      <c r="BF13" s="23"/>
      <c r="BG13" s="21"/>
      <c r="BH13" s="22"/>
      <c r="BI13" s="23"/>
      <c r="BJ13" s="19"/>
      <c r="BK13" s="16"/>
      <c r="BL13" s="23"/>
      <c r="BM13" s="19"/>
      <c r="BN13" s="16"/>
      <c r="BO13" s="23"/>
      <c r="BP13" s="19"/>
      <c r="BQ13" s="16"/>
      <c r="BR13" s="23"/>
      <c r="BS13" s="19"/>
      <c r="BT13" s="16"/>
      <c r="BU13" s="23"/>
      <c r="BV13" s="19"/>
      <c r="BW13" s="16"/>
      <c r="BX13" s="23"/>
      <c r="BY13" s="19"/>
      <c r="BZ13" s="16"/>
      <c r="CA13" s="23"/>
      <c r="CB13" s="21"/>
      <c r="CC13" s="22"/>
      <c r="CD13" s="23"/>
      <c r="CE13" s="21"/>
      <c r="CF13" s="22"/>
      <c r="CG13" s="23"/>
    </row>
    <row r="14" spans="1:85" hidden="1" x14ac:dyDescent="0.2">
      <c r="A14" s="3" t="s">
        <v>99</v>
      </c>
      <c r="B14" s="19"/>
      <c r="C14" s="16"/>
      <c r="D14" s="23"/>
      <c r="E14" s="21"/>
      <c r="F14" s="22"/>
      <c r="G14" s="23"/>
      <c r="H14" s="19"/>
      <c r="I14" s="16"/>
      <c r="J14" s="23"/>
      <c r="K14" s="19"/>
      <c r="L14" s="16"/>
      <c r="M14" s="23"/>
      <c r="N14" s="21"/>
      <c r="O14" s="22"/>
      <c r="P14" s="23"/>
      <c r="Q14" s="19"/>
      <c r="R14" s="16"/>
      <c r="S14" s="23"/>
      <c r="T14" s="19"/>
      <c r="U14" s="16"/>
      <c r="V14" s="23"/>
      <c r="W14" s="21"/>
      <c r="X14" s="22"/>
      <c r="Y14" s="23"/>
      <c r="Z14" s="19"/>
      <c r="AA14" s="16"/>
      <c r="AB14" s="23"/>
      <c r="AC14" s="21"/>
      <c r="AD14" s="22"/>
      <c r="AE14" s="23"/>
      <c r="AF14" s="19"/>
      <c r="AG14" s="16"/>
      <c r="AH14" s="23"/>
      <c r="AI14" s="21"/>
      <c r="AJ14" s="22"/>
      <c r="AK14" s="23"/>
      <c r="AL14" s="19"/>
      <c r="AM14" s="16"/>
      <c r="AN14" s="23"/>
      <c r="AO14" s="21"/>
      <c r="AP14" s="22"/>
      <c r="AQ14" s="23"/>
      <c r="AR14" s="19"/>
      <c r="AS14" s="16"/>
      <c r="AT14" s="23"/>
      <c r="AU14" s="21"/>
      <c r="AV14" s="22"/>
      <c r="AW14" s="23"/>
      <c r="AX14" s="19"/>
      <c r="AY14" s="16"/>
      <c r="AZ14" s="23"/>
      <c r="BA14" s="21"/>
      <c r="BB14" s="22"/>
      <c r="BC14" s="23"/>
      <c r="BD14" s="19"/>
      <c r="BE14" s="16"/>
      <c r="BF14" s="23"/>
      <c r="BG14" s="21"/>
      <c r="BH14" s="22"/>
      <c r="BI14" s="23"/>
      <c r="BJ14" s="19"/>
      <c r="BK14" s="16"/>
      <c r="BL14" s="23"/>
      <c r="BM14" s="19"/>
      <c r="BN14" s="16"/>
      <c r="BO14" s="23"/>
      <c r="BP14" s="21">
        <f>-1250</f>
        <v>-1250</v>
      </c>
      <c r="BQ14" s="16"/>
      <c r="BR14" s="23">
        <f>(BP14)-(BQ14)</f>
        <v>-1250</v>
      </c>
      <c r="BS14" s="19"/>
      <c r="BT14" s="16"/>
      <c r="BU14" s="23"/>
      <c r="BV14" s="19"/>
      <c r="BW14" s="16"/>
      <c r="BX14" s="23"/>
      <c r="BY14" s="19"/>
      <c r="BZ14" s="16"/>
      <c r="CA14" s="23"/>
      <c r="CB14" s="21"/>
      <c r="CC14" s="22"/>
      <c r="CD14" s="23">
        <f>(CB14)-(CC14)</f>
        <v>0</v>
      </c>
      <c r="CE14" s="21">
        <f>((BG14)+(BJ14))+(CB14)</f>
        <v>0</v>
      </c>
      <c r="CF14" s="22"/>
      <c r="CG14" s="23">
        <f>(CE14)-(CF14)</f>
        <v>0</v>
      </c>
    </row>
    <row r="15" spans="1:85" x14ac:dyDescent="0.2">
      <c r="A15" s="3" t="s">
        <v>99</v>
      </c>
      <c r="B15" s="19"/>
      <c r="C15" s="16"/>
      <c r="D15" s="23"/>
      <c r="E15" s="21"/>
      <c r="F15" s="22"/>
      <c r="G15" s="23"/>
      <c r="H15" s="19"/>
      <c r="I15" s="16"/>
      <c r="J15" s="23"/>
      <c r="K15" s="19"/>
      <c r="L15" s="16"/>
      <c r="M15" s="23"/>
      <c r="N15" s="21"/>
      <c r="O15" s="22"/>
      <c r="P15" s="23"/>
      <c r="Q15" s="19"/>
      <c r="R15" s="16"/>
      <c r="S15" s="23"/>
      <c r="T15" s="19"/>
      <c r="U15" s="16"/>
      <c r="V15" s="23"/>
      <c r="W15" s="21"/>
      <c r="X15" s="22"/>
      <c r="Y15" s="23"/>
      <c r="Z15" s="19"/>
      <c r="AA15" s="16"/>
      <c r="AB15" s="23"/>
      <c r="AC15" s="21"/>
      <c r="AD15" s="22"/>
      <c r="AE15" s="23"/>
      <c r="AF15" s="19"/>
      <c r="AG15" s="16"/>
      <c r="AH15" s="23"/>
      <c r="AI15" s="21"/>
      <c r="AJ15" s="22"/>
      <c r="AK15" s="23"/>
      <c r="AL15" s="19"/>
      <c r="AM15" s="16"/>
      <c r="AN15" s="23"/>
      <c r="AO15" s="21"/>
      <c r="AP15" s="22"/>
      <c r="AQ15" s="23"/>
      <c r="AR15" s="19"/>
      <c r="AS15" s="16"/>
      <c r="AT15" s="23"/>
      <c r="AU15" s="21"/>
      <c r="AV15" s="22"/>
      <c r="AW15" s="23"/>
      <c r="AX15" s="19"/>
      <c r="AY15" s="16"/>
      <c r="AZ15" s="23"/>
      <c r="BA15" s="21"/>
      <c r="BB15" s="22"/>
      <c r="BC15" s="23"/>
      <c r="BD15" s="19"/>
      <c r="BE15" s="16"/>
      <c r="BF15" s="23"/>
      <c r="BG15" s="21"/>
      <c r="BH15" s="22"/>
      <c r="BI15" s="23"/>
      <c r="BJ15" s="19"/>
      <c r="BK15" s="16"/>
      <c r="BL15" s="23"/>
      <c r="BM15" s="19"/>
      <c r="BN15" s="16"/>
      <c r="BO15" s="23"/>
      <c r="BP15" s="21">
        <f>1250</f>
        <v>1250</v>
      </c>
      <c r="BQ15" s="16"/>
      <c r="BR15" s="23">
        <f>(BP15)-(BQ15)</f>
        <v>1250</v>
      </c>
      <c r="BS15" s="19"/>
      <c r="BT15" s="16"/>
      <c r="BU15" s="23"/>
      <c r="BV15" s="19"/>
      <c r="BW15" s="16"/>
      <c r="BX15" s="23"/>
      <c r="BY15" s="19"/>
      <c r="BZ15" s="16"/>
      <c r="CA15" s="23"/>
      <c r="CB15" s="21">
        <f>((((BM15)+(BP15))+(BS15))+(BV15))+(BY15)</f>
        <v>1250</v>
      </c>
      <c r="CC15" s="22"/>
      <c r="CD15" s="23">
        <f>(CB15)-(CC15)</f>
        <v>1250</v>
      </c>
      <c r="CE15" s="21">
        <f>((BG15)+(BJ15))+(CB15)</f>
        <v>1250</v>
      </c>
      <c r="CF15" s="22"/>
      <c r="CG15" s="23">
        <f>(CE15)-(CF15)</f>
        <v>1250</v>
      </c>
    </row>
    <row r="16" spans="1:85" x14ac:dyDescent="0.2">
      <c r="A16" s="3" t="s">
        <v>98</v>
      </c>
      <c r="B16" s="24">
        <f>((B13)+(B14))+(B15)</f>
        <v>0</v>
      </c>
      <c r="C16" s="6">
        <f>((C13)+(C14))+(C15)</f>
        <v>0</v>
      </c>
      <c r="D16" s="25">
        <f>(B16)-(C16)</f>
        <v>0</v>
      </c>
      <c r="E16" s="24">
        <f>((E13)+(E14))+(E15)</f>
        <v>0</v>
      </c>
      <c r="F16" s="6">
        <f>((F13)+(F14))+(F15)</f>
        <v>0</v>
      </c>
      <c r="G16" s="25">
        <f>(E16)-(F16)</f>
        <v>0</v>
      </c>
      <c r="H16" s="24">
        <f>((H13)+(H14))+(H15)</f>
        <v>0</v>
      </c>
      <c r="I16" s="6">
        <f>((I13)+(I14))+(I15)</f>
        <v>0</v>
      </c>
      <c r="J16" s="25">
        <f>(H16)-(I16)</f>
        <v>0</v>
      </c>
      <c r="K16" s="24">
        <f>((K13)+(K14))+(K15)</f>
        <v>0</v>
      </c>
      <c r="L16" s="6">
        <f>((L13)+(L14))+(L15)</f>
        <v>0</v>
      </c>
      <c r="M16" s="25">
        <f>(K16)-(L16)</f>
        <v>0</v>
      </c>
      <c r="N16" s="24">
        <f>((N13)+(N14))+(N15)</f>
        <v>0</v>
      </c>
      <c r="O16" s="6">
        <f>((O13)+(O14))+(O15)</f>
        <v>0</v>
      </c>
      <c r="P16" s="25">
        <f>(N16)-(O16)</f>
        <v>0</v>
      </c>
      <c r="Q16" s="24">
        <f>(((E16)+(H16))+(K16))+(N16)</f>
        <v>0</v>
      </c>
      <c r="R16" s="6">
        <f>(((F16)+(I16))+(L16))+(O16)</f>
        <v>0</v>
      </c>
      <c r="S16" s="25">
        <f>(Q16)-(R16)</f>
        <v>0</v>
      </c>
      <c r="T16" s="24">
        <f>((T13)+(T14))+(T15)</f>
        <v>0</v>
      </c>
      <c r="U16" s="6">
        <f>((U13)+(U14))+(U15)</f>
        <v>0</v>
      </c>
      <c r="V16" s="25">
        <f>(T16)-(U16)</f>
        <v>0</v>
      </c>
      <c r="W16" s="24">
        <f>((W13)+(W14))+(W15)</f>
        <v>0</v>
      </c>
      <c r="X16" s="6">
        <f>((X13)+(X14))+(X15)</f>
        <v>0</v>
      </c>
      <c r="Y16" s="25">
        <f>(W16)-(X16)</f>
        <v>0</v>
      </c>
      <c r="Z16" s="24">
        <f>((Z13)+(Z14))+(Z15)</f>
        <v>0</v>
      </c>
      <c r="AA16" s="6">
        <f>((AA13)+(AA14))+(AA15)</f>
        <v>0</v>
      </c>
      <c r="AB16" s="25">
        <f>(Z16)-(AA16)</f>
        <v>0</v>
      </c>
      <c r="AC16" s="24">
        <f>((T16)+(W16))+(Z16)</f>
        <v>0</v>
      </c>
      <c r="AD16" s="6">
        <f>((U16)+(X16))+(AA16)</f>
        <v>0</v>
      </c>
      <c r="AE16" s="25">
        <f>(AC16)-(AD16)</f>
        <v>0</v>
      </c>
      <c r="AF16" s="24">
        <f>((AF13)+(AF14))+(AF15)</f>
        <v>0</v>
      </c>
      <c r="AG16" s="6">
        <f>((AG13)+(AG14))+(AG15)</f>
        <v>0</v>
      </c>
      <c r="AH16" s="25">
        <f>(AF16)-(AG16)</f>
        <v>0</v>
      </c>
      <c r="AI16" s="24">
        <f>((AI13)+(AI14))+(AI15)</f>
        <v>0</v>
      </c>
      <c r="AJ16" s="6">
        <f>((AJ13)+(AJ14))+(AJ15)</f>
        <v>0</v>
      </c>
      <c r="AK16" s="25">
        <f>(AI16)-(AJ16)</f>
        <v>0</v>
      </c>
      <c r="AL16" s="24">
        <f>(AF16)+(AI16)</f>
        <v>0</v>
      </c>
      <c r="AM16" s="6">
        <f>(AG16)+(AJ16)</f>
        <v>0</v>
      </c>
      <c r="AN16" s="25">
        <f>(AL16)-(AM16)</f>
        <v>0</v>
      </c>
      <c r="AO16" s="24">
        <f>((AO13)+(AO14))+(AO15)</f>
        <v>0</v>
      </c>
      <c r="AP16" s="6">
        <f>((AP13)+(AP14))+(AP15)</f>
        <v>0</v>
      </c>
      <c r="AQ16" s="25">
        <f>(AO16)-(AP16)</f>
        <v>0</v>
      </c>
      <c r="AR16" s="24">
        <f>((AR13)+(AR14))+(AR15)</f>
        <v>0</v>
      </c>
      <c r="AS16" s="6">
        <f>((AS13)+(AS14))+(AS15)</f>
        <v>0</v>
      </c>
      <c r="AT16" s="25">
        <f>(AR16)-(AS16)</f>
        <v>0</v>
      </c>
      <c r="AU16" s="24">
        <f>((AU13)+(AU14))+(AU15)</f>
        <v>0</v>
      </c>
      <c r="AV16" s="6">
        <f>((AV13)+(AV14))+(AV15)</f>
        <v>0</v>
      </c>
      <c r="AW16" s="25">
        <f>(AU16)-(AV16)</f>
        <v>0</v>
      </c>
      <c r="AX16" s="24">
        <f>((AX13)+(AX14))+(AX15)</f>
        <v>0</v>
      </c>
      <c r="AY16" s="6">
        <f>((AY13)+(AY14))+(AY15)</f>
        <v>0</v>
      </c>
      <c r="AZ16" s="25">
        <f>(AX16)-(AY16)</f>
        <v>0</v>
      </c>
      <c r="BA16" s="24">
        <f>((BA13)+(BA14))+(BA15)</f>
        <v>0</v>
      </c>
      <c r="BB16" s="6">
        <f>((BB13)+(BB14))+(BB15)</f>
        <v>0</v>
      </c>
      <c r="BC16" s="25">
        <f>(BA16)-(BB16)</f>
        <v>0</v>
      </c>
      <c r="BD16" s="24">
        <f>((BD13)+(BD14))+(BD15)</f>
        <v>0</v>
      </c>
      <c r="BE16" s="6">
        <f>((BE13)+(BE14))+(BE15)</f>
        <v>0</v>
      </c>
      <c r="BF16" s="25">
        <f>(BD16)-(BE16)</f>
        <v>0</v>
      </c>
      <c r="BG16" s="24">
        <f>(((((((((B16)+(Q16))+(AC16))+(AL16))+(AO16))+(AR16))+(AU16))+(AX16))+(BA16))+(BD16)</f>
        <v>0</v>
      </c>
      <c r="BH16" s="6">
        <f>(((((((((C16)+(R16))+(AD16))+(AM16))+(AP16))+(AS16))+(AV16))+(AY16))+(BB16))+(BE16)</f>
        <v>0</v>
      </c>
      <c r="BI16" s="25">
        <f>(BG16)-(BH16)</f>
        <v>0</v>
      </c>
      <c r="BJ16" s="24">
        <f>((BJ13)+(BJ14))+(BJ15)</f>
        <v>0</v>
      </c>
      <c r="BK16" s="6">
        <f>((BK13)+(BK14))+(BK15)</f>
        <v>0</v>
      </c>
      <c r="BL16" s="25">
        <f>(BJ16)-(BK16)</f>
        <v>0</v>
      </c>
      <c r="BM16" s="24">
        <f>((BM13)+(BM14))+(BM15)</f>
        <v>0</v>
      </c>
      <c r="BN16" s="6">
        <f>((BN13)+(BN14))+(BN15)</f>
        <v>0</v>
      </c>
      <c r="BO16" s="25">
        <f>(BM16)-(BN16)</f>
        <v>0</v>
      </c>
      <c r="BP16" s="24">
        <v>1250</v>
      </c>
      <c r="BQ16" s="6">
        <f>((BQ13)+(BQ14))+(BQ15)</f>
        <v>0</v>
      </c>
      <c r="BR16" s="25">
        <f>(BP16)-(BQ16)</f>
        <v>1250</v>
      </c>
      <c r="BS16" s="24">
        <f>((BS13)+(BS14))+(BS15)</f>
        <v>0</v>
      </c>
      <c r="BT16" s="6">
        <f>((BT13)+(BT14))+(BT15)</f>
        <v>0</v>
      </c>
      <c r="BU16" s="25">
        <f>(BS16)-(BT16)</f>
        <v>0</v>
      </c>
      <c r="BV16" s="24">
        <f>((BV13)+(BV14))+(BV15)</f>
        <v>0</v>
      </c>
      <c r="BW16" s="6">
        <f>((BW13)+(BW14))+(BW15)</f>
        <v>0</v>
      </c>
      <c r="BX16" s="25">
        <f>(BV16)-(BW16)</f>
        <v>0</v>
      </c>
      <c r="BY16" s="24">
        <f>((BY13)+(BY14))+(BY15)</f>
        <v>0</v>
      </c>
      <c r="BZ16" s="6">
        <f>((BZ13)+(BZ14))+(BZ15)</f>
        <v>0</v>
      </c>
      <c r="CA16" s="25">
        <f>(BY16)-(BZ16)</f>
        <v>0</v>
      </c>
      <c r="CB16" s="24">
        <f>((((BM16)+(BP16))+(BS16))+(BV16))+(BY16)</f>
        <v>1250</v>
      </c>
      <c r="CC16" s="6">
        <f>((((BN16)+(BQ16))+(BT16))+(BW16))+(BZ16)</f>
        <v>0</v>
      </c>
      <c r="CD16" s="25">
        <f>(CB16)-(CC16)</f>
        <v>1250</v>
      </c>
      <c r="CE16" s="24">
        <f>((BG16)+(BJ16))+(CB16)</f>
        <v>1250</v>
      </c>
      <c r="CF16" s="6">
        <f>((BH16)+(BK16))+(CC16)</f>
        <v>0</v>
      </c>
      <c r="CG16" s="25">
        <f>(CE16)-(CF16)</f>
        <v>1250</v>
      </c>
    </row>
    <row r="17" spans="1:85" x14ac:dyDescent="0.2">
      <c r="A17" s="3"/>
      <c r="B17" s="26"/>
      <c r="C17" s="9"/>
      <c r="D17" s="27"/>
      <c r="E17" s="26"/>
      <c r="F17" s="9"/>
      <c r="G17" s="27"/>
      <c r="H17" s="26"/>
      <c r="I17" s="9"/>
      <c r="J17" s="27"/>
      <c r="K17" s="26"/>
      <c r="L17" s="9"/>
      <c r="M17" s="27"/>
      <c r="N17" s="26"/>
      <c r="O17" s="9"/>
      <c r="P17" s="27"/>
      <c r="Q17" s="26"/>
      <c r="R17" s="9"/>
      <c r="S17" s="27"/>
      <c r="T17" s="26"/>
      <c r="U17" s="9"/>
      <c r="V17" s="27"/>
      <c r="W17" s="26"/>
      <c r="X17" s="9"/>
      <c r="Y17" s="27"/>
      <c r="Z17" s="26"/>
      <c r="AA17" s="9"/>
      <c r="AB17" s="27"/>
      <c r="AC17" s="26"/>
      <c r="AD17" s="9"/>
      <c r="AE17" s="27"/>
      <c r="AF17" s="26"/>
      <c r="AG17" s="9"/>
      <c r="AH17" s="27"/>
      <c r="AI17" s="26"/>
      <c r="AJ17" s="9"/>
      <c r="AK17" s="27"/>
      <c r="AL17" s="26"/>
      <c r="AM17" s="9"/>
      <c r="AN17" s="27"/>
      <c r="AO17" s="26"/>
      <c r="AP17" s="9"/>
      <c r="AQ17" s="27"/>
      <c r="AR17" s="26"/>
      <c r="AS17" s="9"/>
      <c r="AT17" s="27"/>
      <c r="AU17" s="26"/>
      <c r="AV17" s="9"/>
      <c r="AW17" s="27"/>
      <c r="AX17" s="26"/>
      <c r="AY17" s="9"/>
      <c r="AZ17" s="27"/>
      <c r="BA17" s="26"/>
      <c r="BB17" s="9"/>
      <c r="BC17" s="27"/>
      <c r="BD17" s="26"/>
      <c r="BE17" s="9"/>
      <c r="BF17" s="27"/>
      <c r="BG17" s="26"/>
      <c r="BH17" s="9"/>
      <c r="BI17" s="27"/>
      <c r="BJ17" s="26"/>
      <c r="BK17" s="9"/>
      <c r="BL17" s="27"/>
      <c r="BM17" s="26"/>
      <c r="BN17" s="9"/>
      <c r="BO17" s="27"/>
      <c r="BP17" s="26"/>
      <c r="BQ17" s="9"/>
      <c r="BR17" s="27"/>
      <c r="BS17" s="26"/>
      <c r="BT17" s="9"/>
      <c r="BU17" s="27"/>
      <c r="BV17" s="26"/>
      <c r="BW17" s="9"/>
      <c r="BX17" s="27"/>
      <c r="BY17" s="26"/>
      <c r="BZ17" s="9"/>
      <c r="CA17" s="27"/>
      <c r="CB17" s="26"/>
      <c r="CC17" s="9"/>
      <c r="CD17" s="27"/>
      <c r="CE17" s="26"/>
      <c r="CF17" s="9"/>
      <c r="CG17" s="27"/>
    </row>
    <row r="18" spans="1:85" x14ac:dyDescent="0.2">
      <c r="A18" s="3" t="s">
        <v>97</v>
      </c>
      <c r="B18" s="19"/>
      <c r="C18" s="16"/>
      <c r="D18" s="23"/>
      <c r="E18" s="21"/>
      <c r="F18" s="22"/>
      <c r="G18" s="23"/>
      <c r="H18" s="19"/>
      <c r="I18" s="16"/>
      <c r="J18" s="23"/>
      <c r="K18" s="19"/>
      <c r="L18" s="16"/>
      <c r="M18" s="23"/>
      <c r="N18" s="21"/>
      <c r="O18" s="22"/>
      <c r="P18" s="23"/>
      <c r="Q18" s="19"/>
      <c r="R18" s="16"/>
      <c r="S18" s="23"/>
      <c r="T18" s="19"/>
      <c r="U18" s="16"/>
      <c r="V18" s="23"/>
      <c r="W18" s="21"/>
      <c r="X18" s="22"/>
      <c r="Y18" s="23"/>
      <c r="Z18" s="19"/>
      <c r="AA18" s="16"/>
      <c r="AB18" s="23"/>
      <c r="AC18" s="21"/>
      <c r="AD18" s="22"/>
      <c r="AE18" s="23"/>
      <c r="AF18" s="19"/>
      <c r="AG18" s="16"/>
      <c r="AH18" s="23"/>
      <c r="AI18" s="21"/>
      <c r="AJ18" s="22"/>
      <c r="AK18" s="23"/>
      <c r="AL18" s="19"/>
      <c r="AM18" s="16"/>
      <c r="AN18" s="23"/>
      <c r="AO18" s="21"/>
      <c r="AP18" s="22"/>
      <c r="AQ18" s="23"/>
      <c r="AR18" s="19"/>
      <c r="AS18" s="16"/>
      <c r="AT18" s="23"/>
      <c r="AU18" s="21"/>
      <c r="AV18" s="22"/>
      <c r="AW18" s="23"/>
      <c r="AX18" s="19"/>
      <c r="AY18" s="16"/>
      <c r="AZ18" s="23"/>
      <c r="BA18" s="21"/>
      <c r="BB18" s="22"/>
      <c r="BC18" s="23"/>
      <c r="BD18" s="19"/>
      <c r="BE18" s="16"/>
      <c r="BF18" s="23"/>
      <c r="BG18" s="21"/>
      <c r="BH18" s="22"/>
      <c r="BI18" s="23"/>
      <c r="BJ18" s="19"/>
      <c r="BK18" s="16"/>
      <c r="BL18" s="23"/>
      <c r="BM18" s="19"/>
      <c r="BN18" s="16"/>
      <c r="BO18" s="23"/>
      <c r="BP18" s="19"/>
      <c r="BQ18" s="16"/>
      <c r="BR18" s="23"/>
      <c r="BS18" s="19"/>
      <c r="BT18" s="16"/>
      <c r="BU18" s="23"/>
      <c r="BV18" s="19"/>
      <c r="BW18" s="16"/>
      <c r="BX18" s="23"/>
      <c r="BY18" s="19"/>
      <c r="BZ18" s="16"/>
      <c r="CA18" s="23"/>
      <c r="CB18" s="21"/>
      <c r="CC18" s="22"/>
      <c r="CD18" s="23"/>
      <c r="CE18" s="21"/>
      <c r="CF18" s="22"/>
      <c r="CG18" s="23"/>
    </row>
    <row r="19" spans="1:85" x14ac:dyDescent="0.2">
      <c r="A19" s="3" t="s">
        <v>96</v>
      </c>
      <c r="B19" s="19"/>
      <c r="C19" s="16"/>
      <c r="D19" s="23"/>
      <c r="E19" s="21"/>
      <c r="F19" s="22"/>
      <c r="G19" s="23"/>
      <c r="H19" s="19"/>
      <c r="I19" s="16"/>
      <c r="J19" s="23"/>
      <c r="K19" s="19"/>
      <c r="L19" s="16"/>
      <c r="M19" s="23"/>
      <c r="N19" s="21">
        <f>40500</f>
        <v>40500</v>
      </c>
      <c r="O19" s="22"/>
      <c r="P19" s="23">
        <f>(N19)-(O19)</f>
        <v>40500</v>
      </c>
      <c r="Q19" s="19">
        <f>(((E19)+(H19))+(K19))+(N19)</f>
        <v>40500</v>
      </c>
      <c r="R19" s="16"/>
      <c r="S19" s="23">
        <f>(Q19)-(R19)</f>
        <v>40500</v>
      </c>
      <c r="T19" s="19"/>
      <c r="U19" s="16"/>
      <c r="V19" s="23"/>
      <c r="W19" s="21"/>
      <c r="X19" s="22"/>
      <c r="Y19" s="23"/>
      <c r="Z19" s="19"/>
      <c r="AA19" s="16"/>
      <c r="AB19" s="23"/>
      <c r="AC19" s="21"/>
      <c r="AD19" s="22"/>
      <c r="AE19" s="23"/>
      <c r="AF19" s="19"/>
      <c r="AG19" s="16">
        <f>7500</f>
        <v>7500</v>
      </c>
      <c r="AH19" s="23">
        <f>(AF19)-(AG19)</f>
        <v>-7500</v>
      </c>
      <c r="AI19" s="21"/>
      <c r="AJ19" s="22"/>
      <c r="AK19" s="23"/>
      <c r="AL19" s="19"/>
      <c r="AM19" s="16">
        <f>(AG19)+(AJ19)</f>
        <v>7500</v>
      </c>
      <c r="AN19" s="23">
        <f>(AL19)-(AM19)</f>
        <v>-7500</v>
      </c>
      <c r="AO19" s="21"/>
      <c r="AP19" s="22">
        <f>7000</f>
        <v>7000</v>
      </c>
      <c r="AQ19" s="23">
        <f>(AO19)-(AP19)</f>
        <v>-7000</v>
      </c>
      <c r="AR19" s="19"/>
      <c r="AS19" s="16"/>
      <c r="AT19" s="23"/>
      <c r="AU19" s="21">
        <f>3000</f>
        <v>3000</v>
      </c>
      <c r="AV19" s="22">
        <f>3000</f>
        <v>3000</v>
      </c>
      <c r="AW19" s="23"/>
      <c r="AX19" s="19">
        <f>66545</f>
        <v>66545</v>
      </c>
      <c r="AY19" s="16">
        <f>66000</f>
        <v>66000</v>
      </c>
      <c r="AZ19" s="23">
        <f>(AX19)-(AY19)</f>
        <v>545</v>
      </c>
      <c r="BA19" s="21"/>
      <c r="BB19" s="22"/>
      <c r="BC19" s="23"/>
      <c r="BD19" s="19"/>
      <c r="BE19" s="16"/>
      <c r="BF19" s="23"/>
      <c r="BG19" s="21">
        <f>(((((((((B19)+(Q19))+(AC19))+(AL19))+(AO19))+(AR19))+(AU19))+(AX19))+(BA19))+(BD19)</f>
        <v>110045</v>
      </c>
      <c r="BH19" s="22">
        <f>(((((((((C19)+(R19))+(AD19))+(AM19))+(AP19))+(AS19))+(AV19))+(AY19))+(BB19))+(BE19)</f>
        <v>83500</v>
      </c>
      <c r="BI19" s="23">
        <f>(BG19)-(BH19)</f>
        <v>26545</v>
      </c>
      <c r="BJ19" s="19"/>
      <c r="BK19" s="16"/>
      <c r="BL19" s="23"/>
      <c r="BM19" s="19"/>
      <c r="BN19" s="16"/>
      <c r="BO19" s="23"/>
      <c r="BP19" s="19"/>
      <c r="BQ19" s="16"/>
      <c r="BR19" s="23"/>
      <c r="BS19" s="19"/>
      <c r="BT19" s="16"/>
      <c r="BU19" s="23"/>
      <c r="BV19" s="19"/>
      <c r="BW19" s="16"/>
      <c r="BX19" s="23"/>
      <c r="BY19" s="19"/>
      <c r="BZ19" s="16"/>
      <c r="CA19" s="23"/>
      <c r="CB19" s="21"/>
      <c r="CC19" s="22"/>
      <c r="CD19" s="23"/>
      <c r="CE19" s="21">
        <f>((BG19)+(BJ19))+(CB19)</f>
        <v>110045</v>
      </c>
      <c r="CF19" s="22">
        <f>((BH19)+(BK19))+(CC19)</f>
        <v>83500</v>
      </c>
      <c r="CG19" s="23">
        <f>(CE19)-(CF19)</f>
        <v>26545</v>
      </c>
    </row>
    <row r="20" spans="1:85" x14ac:dyDescent="0.2">
      <c r="A20" s="3" t="s">
        <v>95</v>
      </c>
      <c r="B20" s="24">
        <f>(B18)+(B19)</f>
        <v>0</v>
      </c>
      <c r="C20" s="6">
        <f>(C18)+(C19)</f>
        <v>0</v>
      </c>
      <c r="D20" s="25">
        <f>(B20)-(C20)</f>
        <v>0</v>
      </c>
      <c r="E20" s="24">
        <f>(E18)+(E19)</f>
        <v>0</v>
      </c>
      <c r="F20" s="6">
        <f>(F18)+(F19)</f>
        <v>0</v>
      </c>
      <c r="G20" s="25">
        <f>(E20)-(F20)</f>
        <v>0</v>
      </c>
      <c r="H20" s="24">
        <f>(H18)+(H19)</f>
        <v>0</v>
      </c>
      <c r="I20" s="6">
        <f>(I18)+(I19)</f>
        <v>0</v>
      </c>
      <c r="J20" s="25">
        <f>(H20)-(I20)</f>
        <v>0</v>
      </c>
      <c r="K20" s="24">
        <f>(K18)+(K19)</f>
        <v>0</v>
      </c>
      <c r="L20" s="6">
        <f>(L18)+(L19)</f>
        <v>0</v>
      </c>
      <c r="M20" s="25">
        <f>(K20)-(L20)</f>
        <v>0</v>
      </c>
      <c r="N20" s="24">
        <f>(N18)+(N19)</f>
        <v>40500</v>
      </c>
      <c r="O20" s="6">
        <f>(O18)+(O19)</f>
        <v>0</v>
      </c>
      <c r="P20" s="25">
        <f>(N20)-(O20)</f>
        <v>40500</v>
      </c>
      <c r="Q20" s="24">
        <f>(((E20)+(H20))+(K20))+(N20)</f>
        <v>40500</v>
      </c>
      <c r="R20" s="6">
        <f>(((F20)+(I20))+(L20))+(O20)</f>
        <v>0</v>
      </c>
      <c r="S20" s="25">
        <f>(Q20)-(R20)</f>
        <v>40500</v>
      </c>
      <c r="T20" s="24">
        <f>(T18)+(T19)</f>
        <v>0</v>
      </c>
      <c r="U20" s="6">
        <f>(U18)+(U19)</f>
        <v>0</v>
      </c>
      <c r="V20" s="25">
        <f>(T20)-(U20)</f>
        <v>0</v>
      </c>
      <c r="W20" s="24">
        <f>(W18)+(W19)</f>
        <v>0</v>
      </c>
      <c r="X20" s="6">
        <f>(X18)+(X19)</f>
        <v>0</v>
      </c>
      <c r="Y20" s="25">
        <f>(W20)-(X20)</f>
        <v>0</v>
      </c>
      <c r="Z20" s="24">
        <f>(Z18)+(Z19)</f>
        <v>0</v>
      </c>
      <c r="AA20" s="6">
        <f>(AA18)+(AA19)</f>
        <v>0</v>
      </c>
      <c r="AB20" s="25">
        <f>(Z20)-(AA20)</f>
        <v>0</v>
      </c>
      <c r="AC20" s="24">
        <f>((T20)+(W20))+(Z20)</f>
        <v>0</v>
      </c>
      <c r="AD20" s="6">
        <f>((U20)+(X20))+(AA20)</f>
        <v>0</v>
      </c>
      <c r="AE20" s="25">
        <f>(AC20)-(AD20)</f>
        <v>0</v>
      </c>
      <c r="AF20" s="24">
        <f>(AF18)+(AF19)</f>
        <v>0</v>
      </c>
      <c r="AG20" s="6">
        <f>(AG18)+(AG19)</f>
        <v>7500</v>
      </c>
      <c r="AH20" s="25">
        <f>(AF20)-(AG20)</f>
        <v>-7500</v>
      </c>
      <c r="AI20" s="24">
        <f>(AI18)+(AI19)</f>
        <v>0</v>
      </c>
      <c r="AJ20" s="6">
        <f>(AJ18)+(AJ19)</f>
        <v>0</v>
      </c>
      <c r="AK20" s="25">
        <f>(AI20)-(AJ20)</f>
        <v>0</v>
      </c>
      <c r="AL20" s="24">
        <f>(AF20)+(AI20)</f>
        <v>0</v>
      </c>
      <c r="AM20" s="6">
        <f>(AG20)+(AJ20)</f>
        <v>7500</v>
      </c>
      <c r="AN20" s="25">
        <f>(AL20)-(AM20)</f>
        <v>-7500</v>
      </c>
      <c r="AO20" s="24">
        <f>(AO18)+(AO19)</f>
        <v>0</v>
      </c>
      <c r="AP20" s="6">
        <f>(AP18)+(AP19)</f>
        <v>7000</v>
      </c>
      <c r="AQ20" s="25">
        <f>(AO20)-(AP20)</f>
        <v>-7000</v>
      </c>
      <c r="AR20" s="24">
        <f>(AR18)+(AR19)</f>
        <v>0</v>
      </c>
      <c r="AS20" s="6">
        <f>(AS18)+(AS19)</f>
        <v>0</v>
      </c>
      <c r="AT20" s="25">
        <f>(AR20)-(AS20)</f>
        <v>0</v>
      </c>
      <c r="AU20" s="24">
        <f>(AU18)+(AU19)</f>
        <v>3000</v>
      </c>
      <c r="AV20" s="6">
        <f>(AV18)+(AV19)</f>
        <v>3000</v>
      </c>
      <c r="AW20" s="25">
        <f>(AU20)-(AV20)</f>
        <v>0</v>
      </c>
      <c r="AX20" s="24">
        <f>(AX18)+(AX19)</f>
        <v>66545</v>
      </c>
      <c r="AY20" s="6">
        <f>(AY18)+(AY19)</f>
        <v>66000</v>
      </c>
      <c r="AZ20" s="25">
        <f>(AX20)-(AY20)</f>
        <v>545</v>
      </c>
      <c r="BA20" s="24">
        <f>(BA18)+(BA19)</f>
        <v>0</v>
      </c>
      <c r="BB20" s="6">
        <f>(BB18)+(BB19)</f>
        <v>0</v>
      </c>
      <c r="BC20" s="25">
        <f>(BA20)-(BB20)</f>
        <v>0</v>
      </c>
      <c r="BD20" s="24">
        <f>(BD18)+(BD19)</f>
        <v>0</v>
      </c>
      <c r="BE20" s="6">
        <f>(BE18)+(BE19)</f>
        <v>0</v>
      </c>
      <c r="BF20" s="25">
        <f>(BD20)-(BE20)</f>
        <v>0</v>
      </c>
      <c r="BG20" s="24">
        <f>(((((((((B20)+(Q20))+(AC20))+(AL20))+(AO20))+(AR20))+(AU20))+(AX20))+(BA20))+(BD20)</f>
        <v>110045</v>
      </c>
      <c r="BH20" s="6">
        <f>(((((((((C20)+(R20))+(AD20))+(AM20))+(AP20))+(AS20))+(AV20))+(AY20))+(BB20))+(BE20)</f>
        <v>83500</v>
      </c>
      <c r="BI20" s="25">
        <f>(BG20)-(BH20)</f>
        <v>26545</v>
      </c>
      <c r="BJ20" s="24">
        <f>(BJ18)+(BJ19)</f>
        <v>0</v>
      </c>
      <c r="BK20" s="6">
        <f>(BK18)+(BK19)</f>
        <v>0</v>
      </c>
      <c r="BL20" s="25">
        <f>(BJ20)-(BK20)</f>
        <v>0</v>
      </c>
      <c r="BM20" s="24">
        <f>(BM18)+(BM19)</f>
        <v>0</v>
      </c>
      <c r="BN20" s="6">
        <f>(BN18)+(BN19)</f>
        <v>0</v>
      </c>
      <c r="BO20" s="25">
        <f>(BM20)-(BN20)</f>
        <v>0</v>
      </c>
      <c r="BP20" s="24">
        <f>(BP18)+(BP19)</f>
        <v>0</v>
      </c>
      <c r="BQ20" s="6">
        <f>(BQ18)+(BQ19)</f>
        <v>0</v>
      </c>
      <c r="BR20" s="25">
        <f>(BP20)-(BQ20)</f>
        <v>0</v>
      </c>
      <c r="BS20" s="24">
        <f>(BS18)+(BS19)</f>
        <v>0</v>
      </c>
      <c r="BT20" s="6">
        <f>(BT18)+(BT19)</f>
        <v>0</v>
      </c>
      <c r="BU20" s="25">
        <f>(BS20)-(BT20)</f>
        <v>0</v>
      </c>
      <c r="BV20" s="24">
        <f>(BV18)+(BV19)</f>
        <v>0</v>
      </c>
      <c r="BW20" s="6">
        <f>(BW18)+(BW19)</f>
        <v>0</v>
      </c>
      <c r="BX20" s="25">
        <f>(BV20)-(BW20)</f>
        <v>0</v>
      </c>
      <c r="BY20" s="24">
        <f>(BY18)+(BY19)</f>
        <v>0</v>
      </c>
      <c r="BZ20" s="6">
        <f>(BZ18)+(BZ19)</f>
        <v>0</v>
      </c>
      <c r="CA20" s="25">
        <f>(BY20)-(BZ20)</f>
        <v>0</v>
      </c>
      <c r="CB20" s="24">
        <f>((((BM20)+(BP20))+(BS20))+(BV20))+(BY20)</f>
        <v>0</v>
      </c>
      <c r="CC20" s="6">
        <f>((((BN20)+(BQ20))+(BT20))+(BW20))+(BZ20)</f>
        <v>0</v>
      </c>
      <c r="CD20" s="25">
        <f>(CB20)-(CC20)</f>
        <v>0</v>
      </c>
      <c r="CE20" s="24">
        <f>((BG20)+(BJ20))+(CB20)</f>
        <v>110045</v>
      </c>
      <c r="CF20" s="6">
        <f>((BH20)+(BK20))+(CC20)</f>
        <v>83500</v>
      </c>
      <c r="CG20" s="25">
        <f>(CE20)-(CF20)</f>
        <v>26545</v>
      </c>
    </row>
    <row r="21" spans="1:85" x14ac:dyDescent="0.2">
      <c r="A21" s="3"/>
      <c r="B21" s="26"/>
      <c r="C21" s="9"/>
      <c r="D21" s="27"/>
      <c r="E21" s="26"/>
      <c r="F21" s="9"/>
      <c r="G21" s="27"/>
      <c r="H21" s="26"/>
      <c r="I21" s="9"/>
      <c r="J21" s="27"/>
      <c r="K21" s="26"/>
      <c r="L21" s="9"/>
      <c r="M21" s="27"/>
      <c r="N21" s="26"/>
      <c r="O21" s="9"/>
      <c r="P21" s="27"/>
      <c r="Q21" s="26"/>
      <c r="R21" s="9"/>
      <c r="S21" s="27"/>
      <c r="T21" s="26"/>
      <c r="U21" s="9"/>
      <c r="V21" s="27"/>
      <c r="W21" s="26"/>
      <c r="X21" s="9"/>
      <c r="Y21" s="27"/>
      <c r="Z21" s="26"/>
      <c r="AA21" s="9"/>
      <c r="AB21" s="27"/>
      <c r="AC21" s="26"/>
      <c r="AD21" s="9"/>
      <c r="AE21" s="27"/>
      <c r="AF21" s="26"/>
      <c r="AG21" s="9"/>
      <c r="AH21" s="27"/>
      <c r="AI21" s="26"/>
      <c r="AJ21" s="9"/>
      <c r="AK21" s="27"/>
      <c r="AL21" s="26"/>
      <c r="AM21" s="9"/>
      <c r="AN21" s="27"/>
      <c r="AO21" s="26"/>
      <c r="AP21" s="9"/>
      <c r="AQ21" s="27"/>
      <c r="AR21" s="26"/>
      <c r="AS21" s="9"/>
      <c r="AT21" s="27"/>
      <c r="AU21" s="26"/>
      <c r="AV21" s="9"/>
      <c r="AW21" s="27"/>
      <c r="AX21" s="26"/>
      <c r="AY21" s="9"/>
      <c r="AZ21" s="27"/>
      <c r="BA21" s="26"/>
      <c r="BB21" s="9"/>
      <c r="BC21" s="27"/>
      <c r="BD21" s="26"/>
      <c r="BE21" s="9"/>
      <c r="BF21" s="27"/>
      <c r="BG21" s="26"/>
      <c r="BH21" s="9"/>
      <c r="BI21" s="27"/>
      <c r="BJ21" s="26"/>
      <c r="BK21" s="9"/>
      <c r="BL21" s="27"/>
      <c r="BM21" s="26"/>
      <c r="BN21" s="9"/>
      <c r="BO21" s="27"/>
      <c r="BP21" s="26"/>
      <c r="BQ21" s="9"/>
      <c r="BR21" s="27"/>
      <c r="BS21" s="26"/>
      <c r="BT21" s="9"/>
      <c r="BU21" s="27"/>
      <c r="BV21" s="26"/>
      <c r="BW21" s="9"/>
      <c r="BX21" s="27"/>
      <c r="BY21" s="26"/>
      <c r="BZ21" s="9"/>
      <c r="CA21" s="27"/>
      <c r="CB21" s="26"/>
      <c r="CC21" s="9"/>
      <c r="CD21" s="27"/>
      <c r="CE21" s="26"/>
      <c r="CF21" s="9"/>
      <c r="CG21" s="27"/>
    </row>
    <row r="22" spans="1:85" x14ac:dyDescent="0.2">
      <c r="A22" s="3" t="s">
        <v>94</v>
      </c>
      <c r="B22" s="19"/>
      <c r="C22" s="16"/>
      <c r="D22" s="23"/>
      <c r="E22" s="21"/>
      <c r="F22" s="22"/>
      <c r="G22" s="23"/>
      <c r="H22" s="19"/>
      <c r="I22" s="16"/>
      <c r="J22" s="23"/>
      <c r="K22" s="19"/>
      <c r="L22" s="16"/>
      <c r="M22" s="23"/>
      <c r="N22" s="21"/>
      <c r="O22" s="22"/>
      <c r="P22" s="23"/>
      <c r="Q22" s="19"/>
      <c r="R22" s="16"/>
      <c r="S22" s="23"/>
      <c r="T22" s="19"/>
      <c r="U22" s="16"/>
      <c r="V22" s="23"/>
      <c r="W22" s="21"/>
      <c r="X22" s="22"/>
      <c r="Y22" s="23"/>
      <c r="Z22" s="19"/>
      <c r="AA22" s="16"/>
      <c r="AB22" s="23"/>
      <c r="AC22" s="21"/>
      <c r="AD22" s="22"/>
      <c r="AE22" s="23"/>
      <c r="AF22" s="19"/>
      <c r="AG22" s="16"/>
      <c r="AH22" s="23"/>
      <c r="AI22" s="21"/>
      <c r="AJ22" s="22"/>
      <c r="AK22" s="23"/>
      <c r="AL22" s="19"/>
      <c r="AM22" s="16"/>
      <c r="AN22" s="23"/>
      <c r="AO22" s="21"/>
      <c r="AP22" s="22"/>
      <c r="AQ22" s="23"/>
      <c r="AR22" s="19"/>
      <c r="AS22" s="16"/>
      <c r="AT22" s="23"/>
      <c r="AU22" s="21"/>
      <c r="AV22" s="22"/>
      <c r="AW22" s="23"/>
      <c r="AX22" s="19"/>
      <c r="AY22" s="16"/>
      <c r="AZ22" s="23"/>
      <c r="BA22" s="21"/>
      <c r="BB22" s="22"/>
      <c r="BC22" s="23"/>
      <c r="BD22" s="19"/>
      <c r="BE22" s="16"/>
      <c r="BF22" s="23"/>
      <c r="BG22" s="21"/>
      <c r="BH22" s="22"/>
      <c r="BI22" s="23"/>
      <c r="BJ22" s="19"/>
      <c r="BK22" s="16"/>
      <c r="BL22" s="23"/>
      <c r="BM22" s="19"/>
      <c r="BN22" s="16"/>
      <c r="BO22" s="23"/>
      <c r="BP22" s="19"/>
      <c r="BQ22" s="16"/>
      <c r="BR22" s="23"/>
      <c r="BS22" s="19"/>
      <c r="BT22" s="16"/>
      <c r="BU22" s="23"/>
      <c r="BV22" s="19"/>
      <c r="BW22" s="16"/>
      <c r="BX22" s="23"/>
      <c r="BY22" s="19"/>
      <c r="BZ22" s="16"/>
      <c r="CA22" s="23"/>
      <c r="CB22" s="21"/>
      <c r="CC22" s="22"/>
      <c r="CD22" s="23"/>
      <c r="CE22" s="21"/>
      <c r="CF22" s="22"/>
      <c r="CG22" s="23"/>
    </row>
    <row r="23" spans="1:85" x14ac:dyDescent="0.2">
      <c r="A23" s="3" t="s">
        <v>93</v>
      </c>
      <c r="B23" s="19"/>
      <c r="C23" s="16"/>
      <c r="D23" s="23"/>
      <c r="E23" s="21"/>
      <c r="F23" s="22"/>
      <c r="G23" s="23"/>
      <c r="H23" s="19"/>
      <c r="I23" s="16"/>
      <c r="J23" s="23"/>
      <c r="K23" s="19"/>
      <c r="L23" s="16"/>
      <c r="M23" s="23"/>
      <c r="N23" s="21"/>
      <c r="O23" s="22"/>
      <c r="P23" s="23"/>
      <c r="Q23" s="19"/>
      <c r="R23" s="16"/>
      <c r="S23" s="23"/>
      <c r="T23" s="19"/>
      <c r="U23" s="16"/>
      <c r="V23" s="23"/>
      <c r="W23" s="21"/>
      <c r="X23" s="22"/>
      <c r="Y23" s="23"/>
      <c r="Z23" s="19"/>
      <c r="AA23" s="16"/>
      <c r="AB23" s="23"/>
      <c r="AC23" s="21"/>
      <c r="AD23" s="22"/>
      <c r="AE23" s="23"/>
      <c r="AF23" s="19">
        <f>15000</f>
        <v>15000</v>
      </c>
      <c r="AG23" s="16"/>
      <c r="AH23" s="23">
        <f>(AF23)-(AG23)</f>
        <v>15000</v>
      </c>
      <c r="AI23" s="21"/>
      <c r="AJ23" s="22"/>
      <c r="AK23" s="23"/>
      <c r="AL23" s="19">
        <f>(AF23)+(AI23)</f>
        <v>15000</v>
      </c>
      <c r="AM23" s="16"/>
      <c r="AN23" s="23">
        <f>(AL23)-(AM23)</f>
        <v>15000</v>
      </c>
      <c r="AO23" s="21">
        <f>750</f>
        <v>750</v>
      </c>
      <c r="AP23" s="22"/>
      <c r="AQ23" s="23">
        <f>(AO23)-(AP23)</f>
        <v>750</v>
      </c>
      <c r="AR23" s="19"/>
      <c r="AS23" s="16"/>
      <c r="AT23" s="23"/>
      <c r="AU23" s="21"/>
      <c r="AV23" s="22"/>
      <c r="AW23" s="23"/>
      <c r="AX23" s="19"/>
      <c r="AY23" s="16"/>
      <c r="AZ23" s="23"/>
      <c r="BA23" s="21"/>
      <c r="BB23" s="22"/>
      <c r="BC23" s="23"/>
      <c r="BD23" s="19"/>
      <c r="BE23" s="16"/>
      <c r="BF23" s="23"/>
      <c r="BG23" s="21">
        <f>(((((((((B23)+(Q23))+(AC23))+(AL23))+(AO23))+(AR23))+(AU23))+(AX23))+(BA23))+(BD23)</f>
        <v>15750</v>
      </c>
      <c r="BH23" s="22"/>
      <c r="BI23" s="23">
        <f>(BG23)-(BH23)</f>
        <v>15750</v>
      </c>
      <c r="BJ23" s="19"/>
      <c r="BK23" s="16"/>
      <c r="BL23" s="23"/>
      <c r="BM23" s="19"/>
      <c r="BN23" s="16"/>
      <c r="BO23" s="23"/>
      <c r="BP23" s="19"/>
      <c r="BQ23" s="16"/>
      <c r="BR23" s="23"/>
      <c r="BS23" s="19"/>
      <c r="BT23" s="16"/>
      <c r="BU23" s="23"/>
      <c r="BV23" s="19"/>
      <c r="BW23" s="16"/>
      <c r="BX23" s="23"/>
      <c r="BY23" s="19"/>
      <c r="BZ23" s="16"/>
      <c r="CA23" s="23"/>
      <c r="CB23" s="21"/>
      <c r="CC23" s="22"/>
      <c r="CD23" s="23"/>
      <c r="CE23" s="21">
        <f>((BG23)+(BJ23))+(CB23)</f>
        <v>15750</v>
      </c>
      <c r="CF23" s="22"/>
      <c r="CG23" s="23">
        <f>(CE23)-(CF23)</f>
        <v>15750</v>
      </c>
    </row>
    <row r="24" spans="1:85" x14ac:dyDescent="0.2">
      <c r="A24" s="3" t="s">
        <v>92</v>
      </c>
      <c r="B24" s="19"/>
      <c r="C24" s="16"/>
      <c r="D24" s="23"/>
      <c r="E24" s="21"/>
      <c r="F24" s="22"/>
      <c r="G24" s="23"/>
      <c r="H24" s="19"/>
      <c r="I24" s="16"/>
      <c r="J24" s="23"/>
      <c r="K24" s="19"/>
      <c r="L24" s="16"/>
      <c r="M24" s="23"/>
      <c r="N24" s="21"/>
      <c r="O24" s="22"/>
      <c r="P24" s="23"/>
      <c r="Q24" s="19"/>
      <c r="R24" s="16"/>
      <c r="S24" s="23"/>
      <c r="T24" s="19"/>
      <c r="U24" s="16"/>
      <c r="V24" s="23"/>
      <c r="W24" s="21"/>
      <c r="X24" s="22"/>
      <c r="Y24" s="23"/>
      <c r="Z24" s="19"/>
      <c r="AA24" s="16"/>
      <c r="AB24" s="23"/>
      <c r="AC24" s="21"/>
      <c r="AD24" s="22"/>
      <c r="AE24" s="23"/>
      <c r="AF24" s="19"/>
      <c r="AG24" s="16"/>
      <c r="AH24" s="23"/>
      <c r="AI24" s="21"/>
      <c r="AJ24" s="22"/>
      <c r="AK24" s="23"/>
      <c r="AL24" s="19"/>
      <c r="AM24" s="16"/>
      <c r="AN24" s="23"/>
      <c r="AO24" s="21"/>
      <c r="AP24" s="22"/>
      <c r="AQ24" s="23"/>
      <c r="AR24" s="19"/>
      <c r="AS24" s="16"/>
      <c r="AT24" s="23"/>
      <c r="AU24" s="21">
        <f>5919.38</f>
        <v>5919.38</v>
      </c>
      <c r="AV24" s="22">
        <f>6428</f>
        <v>6428</v>
      </c>
      <c r="AW24" s="23">
        <f>(AU24)-(AV24)</f>
        <v>-508.61999999999989</v>
      </c>
      <c r="AX24" s="19"/>
      <c r="AY24" s="16"/>
      <c r="AZ24" s="23"/>
      <c r="BA24" s="21"/>
      <c r="BB24" s="22"/>
      <c r="BC24" s="23"/>
      <c r="BD24" s="19"/>
      <c r="BE24" s="16"/>
      <c r="BF24" s="23"/>
      <c r="BG24" s="21">
        <f>(((((((((B24)+(Q24))+(AC24))+(AL24))+(AO24))+(AR24))+(AU24))+(AX24))+(BA24))+(BD24)</f>
        <v>5919.38</v>
      </c>
      <c r="BH24" s="22">
        <f>(((((((((C24)+(R24))+(AD24))+(AM24))+(AP24))+(AS24))+(AV24))+(AY24))+(BB24))+(BE24)</f>
        <v>6428</v>
      </c>
      <c r="BI24" s="23">
        <f>(BG24)-(BH24)</f>
        <v>-508.61999999999989</v>
      </c>
      <c r="BJ24" s="19"/>
      <c r="BK24" s="16"/>
      <c r="BL24" s="23"/>
      <c r="BM24" s="19"/>
      <c r="BN24" s="16"/>
      <c r="BO24" s="23"/>
      <c r="BP24" s="19"/>
      <c r="BQ24" s="16"/>
      <c r="BR24" s="23"/>
      <c r="BS24" s="19"/>
      <c r="BT24" s="16"/>
      <c r="BU24" s="23"/>
      <c r="BV24" s="19"/>
      <c r="BW24" s="16"/>
      <c r="BX24" s="23"/>
      <c r="BY24" s="19"/>
      <c r="BZ24" s="16"/>
      <c r="CA24" s="23"/>
      <c r="CB24" s="21"/>
      <c r="CC24" s="22"/>
      <c r="CD24" s="23"/>
      <c r="CE24" s="21">
        <f>((BG24)+(BJ24))+(CB24)</f>
        <v>5919.38</v>
      </c>
      <c r="CF24" s="22">
        <f>((BH24)+(BK24))+(CC24)</f>
        <v>6428</v>
      </c>
      <c r="CG24" s="23">
        <f>(CE24)-(CF24)</f>
        <v>-508.61999999999989</v>
      </c>
    </row>
    <row r="25" spans="1:85" x14ac:dyDescent="0.2">
      <c r="A25" s="3" t="s">
        <v>91</v>
      </c>
      <c r="B25" s="19"/>
      <c r="C25" s="16"/>
      <c r="D25" s="23"/>
      <c r="E25" s="21"/>
      <c r="F25" s="22"/>
      <c r="G25" s="23"/>
      <c r="H25" s="19"/>
      <c r="I25" s="16"/>
      <c r="J25" s="23"/>
      <c r="K25" s="19"/>
      <c r="L25" s="16"/>
      <c r="M25" s="23"/>
      <c r="N25" s="21"/>
      <c r="O25" s="22"/>
      <c r="P25" s="23"/>
      <c r="Q25" s="19"/>
      <c r="R25" s="16"/>
      <c r="S25" s="23"/>
      <c r="T25" s="19"/>
      <c r="U25" s="16"/>
      <c r="V25" s="23"/>
      <c r="W25" s="21"/>
      <c r="X25" s="22"/>
      <c r="Y25" s="23"/>
      <c r="Z25" s="19"/>
      <c r="AA25" s="16"/>
      <c r="AB25" s="23"/>
      <c r="AC25" s="21"/>
      <c r="AD25" s="22"/>
      <c r="AE25" s="23"/>
      <c r="AF25" s="19"/>
      <c r="AG25" s="16"/>
      <c r="AH25" s="23"/>
      <c r="AI25" s="21"/>
      <c r="AJ25" s="22"/>
      <c r="AK25" s="23"/>
      <c r="AL25" s="19"/>
      <c r="AM25" s="16"/>
      <c r="AN25" s="23"/>
      <c r="AO25" s="21"/>
      <c r="AP25" s="22"/>
      <c r="AQ25" s="23"/>
      <c r="AR25" s="19"/>
      <c r="AS25" s="16"/>
      <c r="AT25" s="23"/>
      <c r="AU25" s="21"/>
      <c r="AV25" s="22"/>
      <c r="AW25" s="23"/>
      <c r="AX25" s="19">
        <f>700</f>
        <v>700</v>
      </c>
      <c r="AY25" s="16">
        <f>1100</f>
        <v>1100</v>
      </c>
      <c r="AZ25" s="23">
        <f>(AX25)-(AY25)</f>
        <v>-400</v>
      </c>
      <c r="BA25" s="21"/>
      <c r="BB25" s="22"/>
      <c r="BC25" s="23"/>
      <c r="BD25" s="19"/>
      <c r="BE25" s="16"/>
      <c r="BF25" s="23"/>
      <c r="BG25" s="21">
        <f>(((((((((B25)+(Q25))+(AC25))+(AL25))+(AO25))+(AR25))+(AU25))+(AX25))+(BA25))+(BD25)</f>
        <v>700</v>
      </c>
      <c r="BH25" s="22">
        <f>(((((((((C25)+(R25))+(AD25))+(AM25))+(AP25))+(AS25))+(AV25))+(AY25))+(BB25))+(BE25)</f>
        <v>1100</v>
      </c>
      <c r="BI25" s="23">
        <f>(BG25)-(BH25)</f>
        <v>-400</v>
      </c>
      <c r="BJ25" s="19"/>
      <c r="BK25" s="16"/>
      <c r="BL25" s="23"/>
      <c r="BM25" s="19"/>
      <c r="BN25" s="16"/>
      <c r="BO25" s="23"/>
      <c r="BP25" s="19"/>
      <c r="BQ25" s="16"/>
      <c r="BR25" s="23"/>
      <c r="BS25" s="19"/>
      <c r="BT25" s="16"/>
      <c r="BU25" s="23"/>
      <c r="BV25" s="19"/>
      <c r="BW25" s="16"/>
      <c r="BX25" s="23"/>
      <c r="BY25" s="19"/>
      <c r="BZ25" s="16"/>
      <c r="CA25" s="23"/>
      <c r="CB25" s="21"/>
      <c r="CC25" s="22"/>
      <c r="CD25" s="23"/>
      <c r="CE25" s="21">
        <f>((BG25)+(BJ25))+(CB25)</f>
        <v>700</v>
      </c>
      <c r="CF25" s="22">
        <f>((BH25)+(BK25))+(CC25)</f>
        <v>1100</v>
      </c>
      <c r="CG25" s="23">
        <f>(CE25)-(CF25)</f>
        <v>-400</v>
      </c>
    </row>
    <row r="26" spans="1:85" x14ac:dyDescent="0.2">
      <c r="A26" s="3" t="s">
        <v>90</v>
      </c>
      <c r="B26" s="19"/>
      <c r="C26" s="16"/>
      <c r="D26" s="23"/>
      <c r="E26" s="21"/>
      <c r="F26" s="22"/>
      <c r="G26" s="23"/>
      <c r="H26" s="19"/>
      <c r="I26" s="16"/>
      <c r="J26" s="23"/>
      <c r="K26" s="19"/>
      <c r="L26" s="16"/>
      <c r="M26" s="23"/>
      <c r="N26" s="21"/>
      <c r="O26" s="22"/>
      <c r="P26" s="23"/>
      <c r="Q26" s="19"/>
      <c r="R26" s="16"/>
      <c r="S26" s="23"/>
      <c r="T26" s="19"/>
      <c r="U26" s="16"/>
      <c r="V26" s="23"/>
      <c r="W26" s="21">
        <f>26766.09</f>
        <v>26766.09</v>
      </c>
      <c r="X26" s="22">
        <f>40000</f>
        <v>40000</v>
      </c>
      <c r="Y26" s="23">
        <f>(W26)-(X26)</f>
        <v>-13233.91</v>
      </c>
      <c r="Z26" s="19"/>
      <c r="AA26" s="16">
        <f>10000</f>
        <v>10000</v>
      </c>
      <c r="AB26" s="23">
        <f>(Z26)-(AA26)</f>
        <v>-10000</v>
      </c>
      <c r="AC26" s="21">
        <f>((T26)+(W26))+(Z26)</f>
        <v>26766.09</v>
      </c>
      <c r="AD26" s="22">
        <f>((U26)+(X26))+(AA26)</f>
        <v>50000</v>
      </c>
      <c r="AE26" s="23">
        <f>(AC26)-(AD26)</f>
        <v>-23233.91</v>
      </c>
      <c r="AF26" s="19"/>
      <c r="AG26" s="16"/>
      <c r="AH26" s="23"/>
      <c r="AI26" s="21"/>
      <c r="AJ26" s="22"/>
      <c r="AK26" s="23"/>
      <c r="AL26" s="19"/>
      <c r="AM26" s="16"/>
      <c r="AN26" s="23"/>
      <c r="AO26" s="21"/>
      <c r="AP26" s="22"/>
      <c r="AQ26" s="23"/>
      <c r="AR26" s="19"/>
      <c r="AS26" s="16"/>
      <c r="AT26" s="23"/>
      <c r="AU26" s="21"/>
      <c r="AV26" s="22"/>
      <c r="AW26" s="23"/>
      <c r="AX26" s="19"/>
      <c r="AY26" s="16"/>
      <c r="AZ26" s="23"/>
      <c r="BA26" s="21"/>
      <c r="BB26" s="22"/>
      <c r="BC26" s="23"/>
      <c r="BD26" s="19"/>
      <c r="BE26" s="16"/>
      <c r="BF26" s="23"/>
      <c r="BG26" s="21">
        <f>(((((((((B26)+(Q26))+(AC26))+(AL26))+(AO26))+(AR26))+(AU26))+(AX26))+(BA26))+(BD26)</f>
        <v>26766.09</v>
      </c>
      <c r="BH26" s="22">
        <f>(((((((((C26)+(R26))+(AD26))+(AM26))+(AP26))+(AS26))+(AV26))+(AY26))+(BB26))+(BE26)</f>
        <v>50000</v>
      </c>
      <c r="BI26" s="23">
        <f>(BG26)-(BH26)</f>
        <v>-23233.91</v>
      </c>
      <c r="BJ26" s="19"/>
      <c r="BK26" s="16"/>
      <c r="BL26" s="23"/>
      <c r="BM26" s="19"/>
      <c r="BN26" s="16"/>
      <c r="BO26" s="23"/>
      <c r="BP26" s="19"/>
      <c r="BQ26" s="16"/>
      <c r="BR26" s="23"/>
      <c r="BS26" s="19"/>
      <c r="BT26" s="16"/>
      <c r="BU26" s="23"/>
      <c r="BV26" s="19"/>
      <c r="BW26" s="16"/>
      <c r="BX26" s="23"/>
      <c r="BY26" s="19"/>
      <c r="BZ26" s="16"/>
      <c r="CA26" s="23"/>
      <c r="CB26" s="21"/>
      <c r="CC26" s="22"/>
      <c r="CD26" s="23"/>
      <c r="CE26" s="21">
        <f>((BG26)+(BJ26))+(CB26)</f>
        <v>26766.09</v>
      </c>
      <c r="CF26" s="22">
        <f>((BH26)+(BK26))+(CC26)</f>
        <v>50000</v>
      </c>
      <c r="CG26" s="23">
        <f>(CE26)-(CF26)</f>
        <v>-23233.91</v>
      </c>
    </row>
    <row r="27" spans="1:85" x14ac:dyDescent="0.2">
      <c r="A27" s="3" t="s">
        <v>89</v>
      </c>
      <c r="B27" s="24">
        <f>(((B23)+(B24))+(B25))+(B26)</f>
        <v>0</v>
      </c>
      <c r="C27" s="6">
        <f>(((C23)+(C24))+(C25))+(C26)</f>
        <v>0</v>
      </c>
      <c r="D27" s="25">
        <f>(B27)-(C27)</f>
        <v>0</v>
      </c>
      <c r="E27" s="24">
        <f>(((E23)+(E24))+(E25))+(E26)</f>
        <v>0</v>
      </c>
      <c r="F27" s="6">
        <f>(((F23)+(F24))+(F25))+(F26)</f>
        <v>0</v>
      </c>
      <c r="G27" s="25">
        <f>(E27)-(F27)</f>
        <v>0</v>
      </c>
      <c r="H27" s="24">
        <f>(((H23)+(H24))+(H25))+(H26)</f>
        <v>0</v>
      </c>
      <c r="I27" s="6">
        <f>(((I23)+(I24))+(I25))+(I26)</f>
        <v>0</v>
      </c>
      <c r="J27" s="25">
        <f>(H27)-(I27)</f>
        <v>0</v>
      </c>
      <c r="K27" s="24">
        <f>(((K23)+(K24))+(K25))+(K26)</f>
        <v>0</v>
      </c>
      <c r="L27" s="6">
        <f>(((L23)+(L24))+(L25))+(L26)</f>
        <v>0</v>
      </c>
      <c r="M27" s="25">
        <f>(K27)-(L27)</f>
        <v>0</v>
      </c>
      <c r="N27" s="24">
        <f>(((N23)+(N24))+(N25))+(N26)</f>
        <v>0</v>
      </c>
      <c r="O27" s="6">
        <f>(((O23)+(O24))+(O25))+(O26)</f>
        <v>0</v>
      </c>
      <c r="P27" s="25">
        <f>(N27)-(O27)</f>
        <v>0</v>
      </c>
      <c r="Q27" s="24">
        <f>(((E27)+(H27))+(K27))+(N27)</f>
        <v>0</v>
      </c>
      <c r="R27" s="6">
        <f>(((F27)+(I27))+(L27))+(O27)</f>
        <v>0</v>
      </c>
      <c r="S27" s="25">
        <f>(Q27)-(R27)</f>
        <v>0</v>
      </c>
      <c r="T27" s="24">
        <f>(((T23)+(T24))+(T25))+(T26)</f>
        <v>0</v>
      </c>
      <c r="U27" s="6">
        <f>(((U23)+(U24))+(U25))+(U26)</f>
        <v>0</v>
      </c>
      <c r="V27" s="25">
        <f>(T27)-(U27)</f>
        <v>0</v>
      </c>
      <c r="W27" s="24">
        <f>(((W23)+(W24))+(W25))+(W26)</f>
        <v>26766.09</v>
      </c>
      <c r="X27" s="6">
        <f>(((X23)+(X24))+(X25))+(X26)</f>
        <v>40000</v>
      </c>
      <c r="Y27" s="25">
        <f>(W27)-(X27)</f>
        <v>-13233.91</v>
      </c>
      <c r="Z27" s="24">
        <f>(((Z23)+(Z24))+(Z25))+(Z26)</f>
        <v>0</v>
      </c>
      <c r="AA27" s="6">
        <f>(((AA23)+(AA24))+(AA25))+(AA26)</f>
        <v>10000</v>
      </c>
      <c r="AB27" s="25">
        <f>(Z27)-(AA27)</f>
        <v>-10000</v>
      </c>
      <c r="AC27" s="24">
        <f>((T27)+(W27))+(Z27)</f>
        <v>26766.09</v>
      </c>
      <c r="AD27" s="6">
        <f>((U27)+(X27))+(AA27)</f>
        <v>50000</v>
      </c>
      <c r="AE27" s="25">
        <f>(AC27)-(AD27)</f>
        <v>-23233.91</v>
      </c>
      <c r="AF27" s="24">
        <f>(((AF23)+(AF24))+(AF25))+(AF26)</f>
        <v>15000</v>
      </c>
      <c r="AG27" s="6">
        <f>(((AG23)+(AG24))+(AG25))+(AG26)</f>
        <v>0</v>
      </c>
      <c r="AH27" s="25">
        <f>(AF27)-(AG27)</f>
        <v>15000</v>
      </c>
      <c r="AI27" s="24">
        <f>(((AI23)+(AI24))+(AI25))+(AI26)</f>
        <v>0</v>
      </c>
      <c r="AJ27" s="6">
        <f>(((AJ23)+(AJ24))+(AJ25))+(AJ26)</f>
        <v>0</v>
      </c>
      <c r="AK27" s="25">
        <f>(AI27)-(AJ27)</f>
        <v>0</v>
      </c>
      <c r="AL27" s="24">
        <f>(AF27)+(AI27)</f>
        <v>15000</v>
      </c>
      <c r="AM27" s="6">
        <f>(AG27)+(AJ27)</f>
        <v>0</v>
      </c>
      <c r="AN27" s="25">
        <f>(AL27)-(AM27)</f>
        <v>15000</v>
      </c>
      <c r="AO27" s="24">
        <f>(((AO23)+(AO24))+(AO25))+(AO26)</f>
        <v>750</v>
      </c>
      <c r="AP27" s="6">
        <f>(((AP23)+(AP24))+(AP25))+(AP26)</f>
        <v>0</v>
      </c>
      <c r="AQ27" s="25">
        <f>(AO27)-(AP27)</f>
        <v>750</v>
      </c>
      <c r="AR27" s="24">
        <f>(((AR23)+(AR24))+(AR25))+(AR26)</f>
        <v>0</v>
      </c>
      <c r="AS27" s="6">
        <f>(((AS23)+(AS24))+(AS25))+(AS26)</f>
        <v>0</v>
      </c>
      <c r="AT27" s="25">
        <f>(AR27)-(AS27)</f>
        <v>0</v>
      </c>
      <c r="AU27" s="24">
        <f>(((AU23)+(AU24))+(AU25))+(AU26)</f>
        <v>5919.38</v>
      </c>
      <c r="AV27" s="6">
        <f>(((AV23)+(AV24))+(AV25))+(AV26)</f>
        <v>6428</v>
      </c>
      <c r="AW27" s="25">
        <f>(AU27)-(AV27)</f>
        <v>-508.61999999999989</v>
      </c>
      <c r="AX27" s="24">
        <f>(((AX23)+(AX24))+(AX25))+(AX26)</f>
        <v>700</v>
      </c>
      <c r="AY27" s="6">
        <f>(((AY23)+(AY24))+(AY25))+(AY26)</f>
        <v>1100</v>
      </c>
      <c r="AZ27" s="25">
        <f>(AX27)-(AY27)</f>
        <v>-400</v>
      </c>
      <c r="BA27" s="24">
        <f>(((BA23)+(BA24))+(BA25))+(BA26)</f>
        <v>0</v>
      </c>
      <c r="BB27" s="6">
        <f>(((BB23)+(BB24))+(BB25))+(BB26)</f>
        <v>0</v>
      </c>
      <c r="BC27" s="25">
        <f>(BA27)-(BB27)</f>
        <v>0</v>
      </c>
      <c r="BD27" s="24">
        <f>(((BD23)+(BD24))+(BD25))+(BD26)</f>
        <v>0</v>
      </c>
      <c r="BE27" s="6">
        <f>(((BE23)+(BE24))+(BE25))+(BE26)</f>
        <v>0</v>
      </c>
      <c r="BF27" s="25">
        <f>(BD27)-(BE27)</f>
        <v>0</v>
      </c>
      <c r="BG27" s="24">
        <f>(((((((((B27)+(Q27))+(AC27))+(AL27))+(AO27))+(AR27))+(AU27))+(AX27))+(BA27))+(BD27)</f>
        <v>49135.469999999994</v>
      </c>
      <c r="BH27" s="6">
        <f>(((((((((C27)+(R27))+(AD27))+(AM27))+(AP27))+(AS27))+(AV27))+(AY27))+(BB27))+(BE27)</f>
        <v>57528</v>
      </c>
      <c r="BI27" s="25">
        <f>(BG27)-(BH27)</f>
        <v>-8392.5300000000061</v>
      </c>
      <c r="BJ27" s="24">
        <f>(((BJ23)+(BJ24))+(BJ25))+(BJ26)</f>
        <v>0</v>
      </c>
      <c r="BK27" s="6">
        <f>(((BK23)+(BK24))+(BK25))+(BK26)</f>
        <v>0</v>
      </c>
      <c r="BL27" s="25">
        <f>(BJ27)-(BK27)</f>
        <v>0</v>
      </c>
      <c r="BM27" s="24">
        <f>(((BM23)+(BM24))+(BM25))+(BM26)</f>
        <v>0</v>
      </c>
      <c r="BN27" s="6">
        <f>(((BN23)+(BN24))+(BN25))+(BN26)</f>
        <v>0</v>
      </c>
      <c r="BO27" s="25">
        <f>(BM27)-(BN27)</f>
        <v>0</v>
      </c>
      <c r="BP27" s="24">
        <f>(((BP23)+(BP24))+(BP25))+(BP26)</f>
        <v>0</v>
      </c>
      <c r="BQ27" s="6">
        <f>(((BQ23)+(BQ24))+(BQ25))+(BQ26)</f>
        <v>0</v>
      </c>
      <c r="BR27" s="25">
        <f>(BP27)-(BQ27)</f>
        <v>0</v>
      </c>
      <c r="BS27" s="24">
        <f>(((BS23)+(BS24))+(BS25))+(BS26)</f>
        <v>0</v>
      </c>
      <c r="BT27" s="6">
        <f>(((BT23)+(BT24))+(BT25))+(BT26)</f>
        <v>0</v>
      </c>
      <c r="BU27" s="25">
        <f>(BS27)-(BT27)</f>
        <v>0</v>
      </c>
      <c r="BV27" s="24">
        <f>(((BV23)+(BV24))+(BV25))+(BV26)</f>
        <v>0</v>
      </c>
      <c r="BW27" s="6">
        <f>(((BW23)+(BW24))+(BW25))+(BW26)</f>
        <v>0</v>
      </c>
      <c r="BX27" s="25">
        <f>(BV27)-(BW27)</f>
        <v>0</v>
      </c>
      <c r="BY27" s="24">
        <f>(((BY23)+(BY24))+(BY25))+(BY26)</f>
        <v>0</v>
      </c>
      <c r="BZ27" s="6">
        <f>(((BZ23)+(BZ24))+(BZ25))+(BZ26)</f>
        <v>0</v>
      </c>
      <c r="CA27" s="25">
        <f>(BY27)-(BZ27)</f>
        <v>0</v>
      </c>
      <c r="CB27" s="24">
        <f>((((BM27)+(BP27))+(BS27))+(BV27))+(BY27)</f>
        <v>0</v>
      </c>
      <c r="CC27" s="6">
        <f>((((BN27)+(BQ27))+(BT27))+(BW27))+(BZ27)</f>
        <v>0</v>
      </c>
      <c r="CD27" s="25">
        <f>(CB27)-(CC27)</f>
        <v>0</v>
      </c>
      <c r="CE27" s="24">
        <f>((BG27)+(BJ27))+(CB27)</f>
        <v>49135.469999999994</v>
      </c>
      <c r="CF27" s="6">
        <f>((BH27)+(BK27))+(CC27)</f>
        <v>57528</v>
      </c>
      <c r="CG27" s="25">
        <f>(CE27)-(CF27)</f>
        <v>-8392.5300000000061</v>
      </c>
    </row>
    <row r="28" spans="1:85" x14ac:dyDescent="0.2">
      <c r="A28" s="3"/>
      <c r="B28" s="26"/>
      <c r="C28" s="9"/>
      <c r="D28" s="27"/>
      <c r="E28" s="26"/>
      <c r="F28" s="9"/>
      <c r="G28" s="27"/>
      <c r="H28" s="26"/>
      <c r="I28" s="9"/>
      <c r="J28" s="27"/>
      <c r="K28" s="26"/>
      <c r="L28" s="9"/>
      <c r="M28" s="27"/>
      <c r="N28" s="26"/>
      <c r="O28" s="9"/>
      <c r="P28" s="27"/>
      <c r="Q28" s="26"/>
      <c r="R28" s="9"/>
      <c r="S28" s="27"/>
      <c r="T28" s="26"/>
      <c r="U28" s="9"/>
      <c r="V28" s="27"/>
      <c r="W28" s="26"/>
      <c r="X28" s="9"/>
      <c r="Y28" s="27"/>
      <c r="Z28" s="26"/>
      <c r="AA28" s="9"/>
      <c r="AB28" s="27"/>
      <c r="AC28" s="26"/>
      <c r="AD28" s="9"/>
      <c r="AE28" s="27"/>
      <c r="AF28" s="26"/>
      <c r="AG28" s="9"/>
      <c r="AH28" s="27"/>
      <c r="AI28" s="26"/>
      <c r="AJ28" s="9"/>
      <c r="AK28" s="27"/>
      <c r="AL28" s="26"/>
      <c r="AM28" s="9"/>
      <c r="AN28" s="27"/>
      <c r="AO28" s="26"/>
      <c r="AP28" s="9"/>
      <c r="AQ28" s="27"/>
      <c r="AR28" s="26"/>
      <c r="AS28" s="9"/>
      <c r="AT28" s="27"/>
      <c r="AU28" s="26"/>
      <c r="AV28" s="9"/>
      <c r="AW28" s="27"/>
      <c r="AX28" s="26"/>
      <c r="AY28" s="9"/>
      <c r="AZ28" s="27"/>
      <c r="BA28" s="26"/>
      <c r="BB28" s="9"/>
      <c r="BC28" s="27"/>
      <c r="BD28" s="26"/>
      <c r="BE28" s="9"/>
      <c r="BF28" s="27"/>
      <c r="BG28" s="26"/>
      <c r="BH28" s="9"/>
      <c r="BI28" s="27"/>
      <c r="BJ28" s="26"/>
      <c r="BK28" s="9"/>
      <c r="BL28" s="27"/>
      <c r="BM28" s="26"/>
      <c r="BN28" s="9"/>
      <c r="BO28" s="27"/>
      <c r="BP28" s="26"/>
      <c r="BQ28" s="9"/>
      <c r="BR28" s="27"/>
      <c r="BS28" s="26"/>
      <c r="BT28" s="9"/>
      <c r="BU28" s="27"/>
      <c r="BV28" s="26"/>
      <c r="BW28" s="9"/>
      <c r="BX28" s="27"/>
      <c r="BY28" s="26"/>
      <c r="BZ28" s="9"/>
      <c r="CA28" s="27"/>
      <c r="CB28" s="26"/>
      <c r="CC28" s="9"/>
      <c r="CD28" s="27"/>
      <c r="CE28" s="26"/>
      <c r="CF28" s="9"/>
      <c r="CG28" s="27"/>
    </row>
    <row r="29" spans="1:85" x14ac:dyDescent="0.2">
      <c r="A29" s="3" t="s">
        <v>88</v>
      </c>
      <c r="B29" s="21"/>
      <c r="C29" s="16"/>
      <c r="D29" s="23"/>
      <c r="E29" s="21">
        <f>2000</f>
        <v>2000</v>
      </c>
      <c r="F29" s="22">
        <f>1050</f>
        <v>1050</v>
      </c>
      <c r="G29" s="23">
        <f>(E29)-(F29)</f>
        <v>950</v>
      </c>
      <c r="H29" s="21"/>
      <c r="I29" s="16"/>
      <c r="J29" s="23"/>
      <c r="K29" s="21"/>
      <c r="L29" s="16"/>
      <c r="M29" s="23"/>
      <c r="N29" s="21"/>
      <c r="O29" s="22"/>
      <c r="P29" s="23"/>
      <c r="Q29" s="21">
        <f>(((E29)+(H29))+(K29))+(N29)</f>
        <v>2000</v>
      </c>
      <c r="R29" s="16">
        <f>(((F29)+(I29))+(L29))+(O29)</f>
        <v>1050</v>
      </c>
      <c r="S29" s="23">
        <f>(Q29)-(R29)</f>
        <v>950</v>
      </c>
      <c r="T29" s="21"/>
      <c r="U29" s="16"/>
      <c r="V29" s="23"/>
      <c r="W29" s="21"/>
      <c r="X29" s="22"/>
      <c r="Y29" s="23"/>
      <c r="Z29" s="21"/>
      <c r="AA29" s="16"/>
      <c r="AB29" s="23"/>
      <c r="AC29" s="21"/>
      <c r="AD29" s="22"/>
      <c r="AE29" s="23"/>
      <c r="AF29" s="21"/>
      <c r="AG29" s="16"/>
      <c r="AH29" s="23"/>
      <c r="AI29" s="21"/>
      <c r="AJ29" s="22"/>
      <c r="AK29" s="23"/>
      <c r="AL29" s="21"/>
      <c r="AM29" s="16"/>
      <c r="AN29" s="23"/>
      <c r="AO29" s="21"/>
      <c r="AP29" s="22"/>
      <c r="AQ29" s="23"/>
      <c r="AR29" s="21"/>
      <c r="AS29" s="16"/>
      <c r="AT29" s="23"/>
      <c r="AU29" s="21"/>
      <c r="AV29" s="22"/>
      <c r="AW29" s="23"/>
      <c r="AX29" s="21"/>
      <c r="AY29" s="16"/>
      <c r="AZ29" s="23"/>
      <c r="BA29" s="21"/>
      <c r="BB29" s="22"/>
      <c r="BC29" s="23"/>
      <c r="BD29" s="21">
        <f>213.89</f>
        <v>213.89</v>
      </c>
      <c r="BE29" s="16"/>
      <c r="BF29" s="23">
        <f>(BD29)-(BE29)</f>
        <v>213.89</v>
      </c>
      <c r="BG29" s="21">
        <f t="shared" ref="BG29:BH31" si="2">(((((((((B29)+(Q29))+(AC29))+(AL29))+(AO29))+(AR29))+(AU29))+(AX29))+(BA29))+(BD29)</f>
        <v>2213.89</v>
      </c>
      <c r="BH29" s="22">
        <f t="shared" si="2"/>
        <v>1050</v>
      </c>
      <c r="BI29" s="23">
        <f>(BG29)-(BH29)</f>
        <v>1163.8899999999999</v>
      </c>
      <c r="BJ29" s="19"/>
      <c r="BK29" s="16"/>
      <c r="BL29" s="23"/>
      <c r="BM29" s="19"/>
      <c r="BN29" s="16"/>
      <c r="BO29" s="23"/>
      <c r="BP29" s="19"/>
      <c r="BQ29" s="16"/>
      <c r="BR29" s="23"/>
      <c r="BS29" s="19"/>
      <c r="BT29" s="16"/>
      <c r="BU29" s="23"/>
      <c r="BV29" s="19"/>
      <c r="BW29" s="16"/>
      <c r="BX29" s="23"/>
      <c r="BY29" s="19"/>
      <c r="BZ29" s="16"/>
      <c r="CA29" s="23"/>
      <c r="CB29" s="21"/>
      <c r="CC29" s="22"/>
      <c r="CD29" s="23"/>
      <c r="CE29" s="21">
        <f>((BG29)+(BJ29))+(CB29)</f>
        <v>2213.89</v>
      </c>
      <c r="CF29" s="22">
        <f>((BH29)+(BK29))+(CC29)</f>
        <v>1050</v>
      </c>
      <c r="CG29" s="23">
        <f>(CE29)-(CF29)</f>
        <v>1163.8899999999999</v>
      </c>
    </row>
    <row r="30" spans="1:85" x14ac:dyDescent="0.2">
      <c r="A30" s="3" t="s">
        <v>137</v>
      </c>
      <c r="B30" s="19"/>
      <c r="C30" s="16">
        <f>1500</f>
        <v>1500</v>
      </c>
      <c r="D30" s="23">
        <f>(B30)-(C30)</f>
        <v>-1500</v>
      </c>
      <c r="E30" s="21"/>
      <c r="F30" s="22"/>
      <c r="G30" s="23"/>
      <c r="H30" s="19"/>
      <c r="I30" s="16"/>
      <c r="J30" s="23"/>
      <c r="K30" s="19"/>
      <c r="L30" s="16"/>
      <c r="M30" s="23"/>
      <c r="N30" s="21"/>
      <c r="O30" s="22"/>
      <c r="P30" s="23"/>
      <c r="Q30" s="19"/>
      <c r="R30" s="16"/>
      <c r="S30" s="23"/>
      <c r="T30" s="19"/>
      <c r="U30" s="16"/>
      <c r="V30" s="23"/>
      <c r="W30" s="21"/>
      <c r="X30" s="22"/>
      <c r="Y30" s="23"/>
      <c r="Z30" s="19"/>
      <c r="AA30" s="16"/>
      <c r="AB30" s="23"/>
      <c r="AC30" s="21"/>
      <c r="AD30" s="22"/>
      <c r="AE30" s="23"/>
      <c r="AF30" s="19"/>
      <c r="AG30" s="16"/>
      <c r="AH30" s="23"/>
      <c r="AI30" s="21"/>
      <c r="AJ30" s="22"/>
      <c r="AK30" s="23"/>
      <c r="AL30" s="19"/>
      <c r="AM30" s="16"/>
      <c r="AN30" s="23"/>
      <c r="AO30" s="21"/>
      <c r="AP30" s="22"/>
      <c r="AQ30" s="23"/>
      <c r="AR30" s="19"/>
      <c r="AS30" s="16"/>
      <c r="AT30" s="23"/>
      <c r="AU30" s="21"/>
      <c r="AV30" s="22"/>
      <c r="AW30" s="23"/>
      <c r="AX30" s="19"/>
      <c r="AY30" s="16"/>
      <c r="AZ30" s="23"/>
      <c r="BA30" s="21"/>
      <c r="BB30" s="22"/>
      <c r="BC30" s="23"/>
      <c r="BD30" s="19"/>
      <c r="BE30" s="16"/>
      <c r="BF30" s="23"/>
      <c r="BG30" s="21">
        <f t="shared" si="2"/>
        <v>0</v>
      </c>
      <c r="BH30" s="22">
        <f t="shared" si="2"/>
        <v>1500</v>
      </c>
      <c r="BI30" s="23">
        <f>(BG30)-(BH30)</f>
        <v>-1500</v>
      </c>
      <c r="BJ30" s="19"/>
      <c r="BK30" s="16"/>
      <c r="BL30" s="23"/>
      <c r="BM30" s="19"/>
      <c r="BN30" s="16"/>
      <c r="BO30" s="23"/>
      <c r="BP30" s="19"/>
      <c r="BQ30" s="16"/>
      <c r="BR30" s="23"/>
      <c r="BS30" s="19"/>
      <c r="BT30" s="16"/>
      <c r="BU30" s="23"/>
      <c r="BV30" s="19"/>
      <c r="BW30" s="16"/>
      <c r="BX30" s="23"/>
      <c r="BY30" s="19"/>
      <c r="BZ30" s="16"/>
      <c r="CA30" s="23"/>
      <c r="CB30" s="21"/>
      <c r="CC30" s="22"/>
      <c r="CD30" s="23"/>
      <c r="CE30" s="21"/>
      <c r="CF30" s="22">
        <f>((BH30)+(BK30))+(CC30)</f>
        <v>1500</v>
      </c>
      <c r="CG30" s="23">
        <f>(CE30)-(CF30)</f>
        <v>-1500</v>
      </c>
    </row>
    <row r="31" spans="1:85" x14ac:dyDescent="0.2">
      <c r="A31" s="3" t="s">
        <v>87</v>
      </c>
      <c r="B31" s="24">
        <f>(((B22)+(B27))+(B29))+(B30)</f>
        <v>0</v>
      </c>
      <c r="C31" s="6">
        <f>(((C22)+(C27))+(C29))+(C30)</f>
        <v>1500</v>
      </c>
      <c r="D31" s="25">
        <f>(B31)-(C31)</f>
        <v>-1500</v>
      </c>
      <c r="E31" s="24">
        <f>(((E22)+(E27))+(E29))+(E30)</f>
        <v>2000</v>
      </c>
      <c r="F31" s="6">
        <f>(((F22)+(F27))+(F29))+(F30)</f>
        <v>1050</v>
      </c>
      <c r="G31" s="25">
        <f>(E31)-(F31)</f>
        <v>950</v>
      </c>
      <c r="H31" s="24">
        <f>(((H22)+(H27))+(H29))+(H30)</f>
        <v>0</v>
      </c>
      <c r="I31" s="6">
        <f>(((I22)+(I27))+(I29))+(I30)</f>
        <v>0</v>
      </c>
      <c r="J31" s="25">
        <f>(H31)-(I31)</f>
        <v>0</v>
      </c>
      <c r="K31" s="24">
        <f>(((K22)+(K27))+(K29))+(K30)</f>
        <v>0</v>
      </c>
      <c r="L31" s="6">
        <f>(((L22)+(L27))+(L29))+(L30)</f>
        <v>0</v>
      </c>
      <c r="M31" s="25">
        <f>(K31)-(L31)</f>
        <v>0</v>
      </c>
      <c r="N31" s="24">
        <f>(((N22)+(N27))+(N29))+(N30)</f>
        <v>0</v>
      </c>
      <c r="O31" s="6">
        <f>(((O22)+(O27))+(O29))+(O30)</f>
        <v>0</v>
      </c>
      <c r="P31" s="25">
        <f>(N31)-(O31)</f>
        <v>0</v>
      </c>
      <c r="Q31" s="24">
        <f>(((E31)+(H31))+(K31))+(N31)</f>
        <v>2000</v>
      </c>
      <c r="R31" s="6">
        <f>(((F31)+(I31))+(L31))+(O31)</f>
        <v>1050</v>
      </c>
      <c r="S31" s="25">
        <f>(Q31)-(R31)</f>
        <v>950</v>
      </c>
      <c r="T31" s="24">
        <f>(((T22)+(T27))+(T29))+(T30)</f>
        <v>0</v>
      </c>
      <c r="U31" s="6">
        <f>(((U22)+(U27))+(U29))+(U30)</f>
        <v>0</v>
      </c>
      <c r="V31" s="25">
        <f>(T31)-(U31)</f>
        <v>0</v>
      </c>
      <c r="W31" s="24">
        <f>(((W22)+(W27))+(W29))+(W30)</f>
        <v>26766.09</v>
      </c>
      <c r="X31" s="6">
        <f>(((X22)+(X27))+(X29))+(X30)</f>
        <v>40000</v>
      </c>
      <c r="Y31" s="25">
        <f>(W31)-(X31)</f>
        <v>-13233.91</v>
      </c>
      <c r="Z31" s="24">
        <f>(((Z22)+(Z27))+(Z29))+(Z30)</f>
        <v>0</v>
      </c>
      <c r="AA31" s="6">
        <f>(((AA22)+(AA27))+(AA29))+(AA30)</f>
        <v>10000</v>
      </c>
      <c r="AB31" s="25">
        <f>(Z31)-(AA31)</f>
        <v>-10000</v>
      </c>
      <c r="AC31" s="24">
        <f>((T31)+(W31))+(Z31)</f>
        <v>26766.09</v>
      </c>
      <c r="AD31" s="6">
        <f>((U31)+(X31))+(AA31)</f>
        <v>50000</v>
      </c>
      <c r="AE31" s="25">
        <f>(AC31)-(AD31)</f>
        <v>-23233.91</v>
      </c>
      <c r="AF31" s="24">
        <f>(((AF22)+(AF27))+(AF29))+(AF30)</f>
        <v>15000</v>
      </c>
      <c r="AG31" s="6">
        <f>(((AG22)+(AG27))+(AG29))+(AG30)</f>
        <v>0</v>
      </c>
      <c r="AH31" s="25">
        <f>(AF31)-(AG31)</f>
        <v>15000</v>
      </c>
      <c r="AI31" s="24">
        <f>(((AI22)+(AI27))+(AI29))+(AI30)</f>
        <v>0</v>
      </c>
      <c r="AJ31" s="6">
        <f>(((AJ22)+(AJ27))+(AJ29))+(AJ30)</f>
        <v>0</v>
      </c>
      <c r="AK31" s="25">
        <f>(AI31)-(AJ31)</f>
        <v>0</v>
      </c>
      <c r="AL31" s="24">
        <f>(AF31)+(AI31)</f>
        <v>15000</v>
      </c>
      <c r="AM31" s="6">
        <f>(AG31)+(AJ31)</f>
        <v>0</v>
      </c>
      <c r="AN31" s="25">
        <f>(AL31)-(AM31)</f>
        <v>15000</v>
      </c>
      <c r="AO31" s="24">
        <f>(((AO22)+(AO27))+(AO29))+(AO30)</f>
        <v>750</v>
      </c>
      <c r="AP31" s="6">
        <f>(((AP22)+(AP27))+(AP29))+(AP30)</f>
        <v>0</v>
      </c>
      <c r="AQ31" s="25">
        <f>(AO31)-(AP31)</f>
        <v>750</v>
      </c>
      <c r="AR31" s="24">
        <f>(((AR22)+(AR27))+(AR29))+(AR30)</f>
        <v>0</v>
      </c>
      <c r="AS31" s="6">
        <f>(((AS22)+(AS27))+(AS29))+(AS30)</f>
        <v>0</v>
      </c>
      <c r="AT31" s="25">
        <f>(AR31)-(AS31)</f>
        <v>0</v>
      </c>
      <c r="AU31" s="24">
        <f>(((AU22)+(AU27))+(AU29))+(AU30)</f>
        <v>5919.38</v>
      </c>
      <c r="AV31" s="6">
        <f>(((AV22)+(AV27))+(AV29))+(AV30)</f>
        <v>6428</v>
      </c>
      <c r="AW31" s="25">
        <f>(AU31)-(AV31)</f>
        <v>-508.61999999999989</v>
      </c>
      <c r="AX31" s="24">
        <f>(((AX22)+(AX27))+(AX29))+(AX30)</f>
        <v>700</v>
      </c>
      <c r="AY31" s="6">
        <f>(((AY22)+(AY27))+(AY29))+(AY30)</f>
        <v>1100</v>
      </c>
      <c r="AZ31" s="25">
        <f>(AX31)-(AY31)</f>
        <v>-400</v>
      </c>
      <c r="BA31" s="24">
        <f>(((BA22)+(BA27))+(BA29))+(BA30)</f>
        <v>0</v>
      </c>
      <c r="BB31" s="6">
        <f>(((BB22)+(BB27))+(BB29))+(BB30)</f>
        <v>0</v>
      </c>
      <c r="BC31" s="25">
        <f>(BA31)-(BB31)</f>
        <v>0</v>
      </c>
      <c r="BD31" s="24">
        <f>(((BD22)+(BD27))+(BD29))+(BD30)</f>
        <v>213.89</v>
      </c>
      <c r="BE31" s="6">
        <f>(((BE22)+(BE27))+(BE29))+(BE30)</f>
        <v>0</v>
      </c>
      <c r="BF31" s="25">
        <f>(BD31)-(BE31)</f>
        <v>213.89</v>
      </c>
      <c r="BG31" s="24">
        <f t="shared" si="2"/>
        <v>51349.359999999993</v>
      </c>
      <c r="BH31" s="6">
        <f t="shared" si="2"/>
        <v>60078</v>
      </c>
      <c r="BI31" s="25">
        <f>(BG31)-(BH31)</f>
        <v>-8728.6400000000067</v>
      </c>
      <c r="BJ31" s="24">
        <f>(((BJ22)+(BJ27))+(BJ29))+(BJ30)</f>
        <v>0</v>
      </c>
      <c r="BK31" s="6">
        <f>(((BK22)+(BK27))+(BK29))+(BK30)</f>
        <v>0</v>
      </c>
      <c r="BL31" s="25">
        <f>(BJ31)-(BK31)</f>
        <v>0</v>
      </c>
      <c r="BM31" s="24">
        <f>(((BM22)+(BM27))+(BM29))+(BM30)</f>
        <v>0</v>
      </c>
      <c r="BN31" s="6">
        <f>(((BN22)+(BN27))+(BN29))+(BN30)</f>
        <v>0</v>
      </c>
      <c r="BO31" s="25">
        <f>(BM31)-(BN31)</f>
        <v>0</v>
      </c>
      <c r="BP31" s="24">
        <f>(((BP22)+(BP27))+(BP29))+(BP30)</f>
        <v>0</v>
      </c>
      <c r="BQ31" s="6">
        <f>(((BQ22)+(BQ27))+(BQ29))+(BQ30)</f>
        <v>0</v>
      </c>
      <c r="BR31" s="25">
        <f>(BP31)-(BQ31)</f>
        <v>0</v>
      </c>
      <c r="BS31" s="24">
        <f>(((BS22)+(BS27))+(BS29))+(BS30)</f>
        <v>0</v>
      </c>
      <c r="BT31" s="6">
        <f>(((BT22)+(BT27))+(BT29))+(BT30)</f>
        <v>0</v>
      </c>
      <c r="BU31" s="25">
        <f>(BS31)-(BT31)</f>
        <v>0</v>
      </c>
      <c r="BV31" s="24">
        <f>(((BV22)+(BV27))+(BV29))+(BV30)</f>
        <v>0</v>
      </c>
      <c r="BW31" s="6">
        <f>(((BW22)+(BW27))+(BW29))+(BW30)</f>
        <v>0</v>
      </c>
      <c r="BX31" s="25">
        <f>(BV31)-(BW31)</f>
        <v>0</v>
      </c>
      <c r="BY31" s="24">
        <f>(((BY22)+(BY27))+(BY29))+(BY30)</f>
        <v>0</v>
      </c>
      <c r="BZ31" s="6">
        <f>(((BZ22)+(BZ27))+(BZ29))+(BZ30)</f>
        <v>0</v>
      </c>
      <c r="CA31" s="25">
        <f>(BY31)-(BZ31)</f>
        <v>0</v>
      </c>
      <c r="CB31" s="24">
        <f>((((BM31)+(BP31))+(BS31))+(BV31))+(BY31)</f>
        <v>0</v>
      </c>
      <c r="CC31" s="6">
        <f>((((BN31)+(BQ31))+(BT31))+(BW31))+(BZ31)</f>
        <v>0</v>
      </c>
      <c r="CD31" s="25">
        <f>(CB31)-(CC31)</f>
        <v>0</v>
      </c>
      <c r="CE31" s="24">
        <f>((BG31)+(BJ31))+(CB31)</f>
        <v>51349.359999999993</v>
      </c>
      <c r="CF31" s="6">
        <f>((BH31)+(BK31))+(CC31)</f>
        <v>60078</v>
      </c>
      <c r="CG31" s="25">
        <f>(CE31)-(CF31)</f>
        <v>-8728.6400000000067</v>
      </c>
    </row>
    <row r="32" spans="1:85" x14ac:dyDescent="0.2">
      <c r="A32" s="3"/>
      <c r="B32" s="26"/>
      <c r="C32" s="9"/>
      <c r="D32" s="27"/>
      <c r="E32" s="26"/>
      <c r="F32" s="9"/>
      <c r="G32" s="27"/>
      <c r="H32" s="26"/>
      <c r="I32" s="9"/>
      <c r="J32" s="27"/>
      <c r="K32" s="26"/>
      <c r="L32" s="9"/>
      <c r="M32" s="27"/>
      <c r="N32" s="26"/>
      <c r="O32" s="9"/>
      <c r="P32" s="27"/>
      <c r="Q32" s="26"/>
      <c r="R32" s="9"/>
      <c r="S32" s="27"/>
      <c r="T32" s="26"/>
      <c r="U32" s="9"/>
      <c r="V32" s="27"/>
      <c r="W32" s="26"/>
      <c r="X32" s="9"/>
      <c r="Y32" s="27"/>
      <c r="Z32" s="26"/>
      <c r="AA32" s="9"/>
      <c r="AB32" s="27"/>
      <c r="AC32" s="26"/>
      <c r="AD32" s="9"/>
      <c r="AE32" s="27"/>
      <c r="AF32" s="26"/>
      <c r="AG32" s="9"/>
      <c r="AH32" s="27"/>
      <c r="AI32" s="26"/>
      <c r="AJ32" s="9"/>
      <c r="AK32" s="27"/>
      <c r="AL32" s="26"/>
      <c r="AM32" s="9"/>
      <c r="AN32" s="27"/>
      <c r="AO32" s="26"/>
      <c r="AP32" s="9"/>
      <c r="AQ32" s="27"/>
      <c r="AR32" s="26"/>
      <c r="AS32" s="9"/>
      <c r="AT32" s="27"/>
      <c r="AU32" s="26"/>
      <c r="AV32" s="9"/>
      <c r="AW32" s="27"/>
      <c r="AX32" s="26"/>
      <c r="AY32" s="9"/>
      <c r="AZ32" s="27"/>
      <c r="BA32" s="26"/>
      <c r="BB32" s="9"/>
      <c r="BC32" s="27"/>
      <c r="BD32" s="26"/>
      <c r="BE32" s="9"/>
      <c r="BF32" s="27"/>
      <c r="BG32" s="26"/>
      <c r="BH32" s="9"/>
      <c r="BI32" s="27"/>
      <c r="BJ32" s="26"/>
      <c r="BK32" s="9"/>
      <c r="BL32" s="27"/>
      <c r="BM32" s="26"/>
      <c r="BN32" s="9"/>
      <c r="BO32" s="27"/>
      <c r="BP32" s="26"/>
      <c r="BQ32" s="9"/>
      <c r="BR32" s="27"/>
      <c r="BS32" s="26"/>
      <c r="BT32" s="9"/>
      <c r="BU32" s="27"/>
      <c r="BV32" s="26"/>
      <c r="BW32" s="9"/>
      <c r="BX32" s="27"/>
      <c r="BY32" s="26"/>
      <c r="BZ32" s="9"/>
      <c r="CA32" s="27"/>
      <c r="CB32" s="26"/>
      <c r="CC32" s="9"/>
      <c r="CD32" s="27"/>
      <c r="CE32" s="26"/>
      <c r="CF32" s="9"/>
      <c r="CG32" s="27"/>
    </row>
    <row r="33" spans="1:85" x14ac:dyDescent="0.2">
      <c r="A33" s="3" t="s">
        <v>86</v>
      </c>
      <c r="B33" s="19"/>
      <c r="C33" s="16"/>
      <c r="D33" s="23"/>
      <c r="E33" s="21"/>
      <c r="F33" s="22"/>
      <c r="G33" s="23"/>
      <c r="H33" s="19"/>
      <c r="I33" s="16"/>
      <c r="J33" s="23"/>
      <c r="K33" s="19"/>
      <c r="L33" s="16"/>
      <c r="M33" s="23"/>
      <c r="N33" s="21"/>
      <c r="O33" s="22"/>
      <c r="P33" s="23"/>
      <c r="Q33" s="19"/>
      <c r="R33" s="16"/>
      <c r="S33" s="23"/>
      <c r="T33" s="19"/>
      <c r="U33" s="16"/>
      <c r="V33" s="23"/>
      <c r="W33" s="21"/>
      <c r="X33" s="22"/>
      <c r="Y33" s="23"/>
      <c r="Z33" s="19"/>
      <c r="AA33" s="16"/>
      <c r="AB33" s="23"/>
      <c r="AC33" s="21"/>
      <c r="AD33" s="22"/>
      <c r="AE33" s="23"/>
      <c r="AF33" s="19"/>
      <c r="AG33" s="16"/>
      <c r="AH33" s="23"/>
      <c r="AI33" s="21"/>
      <c r="AJ33" s="22"/>
      <c r="AK33" s="23"/>
      <c r="AL33" s="19"/>
      <c r="AM33" s="16"/>
      <c r="AN33" s="23"/>
      <c r="AO33" s="21"/>
      <c r="AP33" s="22"/>
      <c r="AQ33" s="23"/>
      <c r="AR33" s="19"/>
      <c r="AS33" s="16"/>
      <c r="AT33" s="23"/>
      <c r="AU33" s="21"/>
      <c r="AV33" s="22"/>
      <c r="AW33" s="23"/>
      <c r="AX33" s="19"/>
      <c r="AY33" s="16"/>
      <c r="AZ33" s="23"/>
      <c r="BA33" s="21"/>
      <c r="BB33" s="22"/>
      <c r="BC33" s="23"/>
      <c r="BD33" s="19"/>
      <c r="BE33" s="16"/>
      <c r="BF33" s="23"/>
      <c r="BG33" s="21"/>
      <c r="BH33" s="22"/>
      <c r="BI33" s="23"/>
      <c r="BJ33" s="19"/>
      <c r="BK33" s="16"/>
      <c r="BL33" s="23"/>
      <c r="BM33" s="19"/>
      <c r="BN33" s="16"/>
      <c r="BO33" s="23"/>
      <c r="BP33" s="19"/>
      <c r="BQ33" s="16"/>
      <c r="BR33" s="23"/>
      <c r="BS33" s="19"/>
      <c r="BT33" s="16"/>
      <c r="BU33" s="23"/>
      <c r="BV33" s="19"/>
      <c r="BW33" s="16"/>
      <c r="BX33" s="23"/>
      <c r="BY33" s="19"/>
      <c r="BZ33" s="16"/>
      <c r="CA33" s="23"/>
      <c r="CB33" s="21"/>
      <c r="CC33" s="22"/>
      <c r="CD33" s="23"/>
      <c r="CE33" s="21"/>
      <c r="CF33" s="22"/>
      <c r="CG33" s="23"/>
    </row>
    <row r="34" spans="1:85" x14ac:dyDescent="0.2">
      <c r="A34" s="3" t="s">
        <v>85</v>
      </c>
      <c r="B34" s="19"/>
      <c r="C34" s="16"/>
      <c r="D34" s="23"/>
      <c r="E34" s="21"/>
      <c r="F34" s="22"/>
      <c r="G34" s="23"/>
      <c r="H34" s="19"/>
      <c r="I34" s="16"/>
      <c r="J34" s="23"/>
      <c r="K34" s="19"/>
      <c r="L34" s="16"/>
      <c r="M34" s="23"/>
      <c r="N34" s="21"/>
      <c r="O34" s="22"/>
      <c r="P34" s="23"/>
      <c r="Q34" s="19"/>
      <c r="R34" s="16"/>
      <c r="S34" s="23"/>
      <c r="T34" s="19"/>
      <c r="U34" s="16"/>
      <c r="V34" s="23"/>
      <c r="W34" s="21">
        <f>500</f>
        <v>500</v>
      </c>
      <c r="X34" s="22"/>
      <c r="Y34" s="23">
        <f>(W34)-(X34)</f>
        <v>500</v>
      </c>
      <c r="Z34" s="19"/>
      <c r="AA34" s="16"/>
      <c r="AB34" s="23"/>
      <c r="AC34" s="21">
        <f>((T34)+(W34))+(Z34)</f>
        <v>500</v>
      </c>
      <c r="AD34" s="22"/>
      <c r="AE34" s="23">
        <f>(AC34)-(AD34)</f>
        <v>500</v>
      </c>
      <c r="AF34" s="19"/>
      <c r="AG34" s="16"/>
      <c r="AH34" s="23"/>
      <c r="AI34" s="21"/>
      <c r="AJ34" s="22"/>
      <c r="AK34" s="23"/>
      <c r="AL34" s="19"/>
      <c r="AM34" s="16"/>
      <c r="AN34" s="23"/>
      <c r="AO34" s="21"/>
      <c r="AP34" s="22"/>
      <c r="AQ34" s="23"/>
      <c r="AR34" s="19"/>
      <c r="AS34" s="16"/>
      <c r="AT34" s="23"/>
      <c r="AU34" s="21">
        <f>322.24</f>
        <v>322.24</v>
      </c>
      <c r="AV34" s="22"/>
      <c r="AW34" s="23">
        <f>(AU34)-(AV34)</f>
        <v>322.24</v>
      </c>
      <c r="AX34" s="19"/>
      <c r="AY34" s="16"/>
      <c r="AZ34" s="23"/>
      <c r="BA34" s="21"/>
      <c r="BB34" s="22"/>
      <c r="BC34" s="23"/>
      <c r="BD34" s="19"/>
      <c r="BE34" s="16"/>
      <c r="BF34" s="23"/>
      <c r="BG34" s="21">
        <f>(((((((((B34)+(Q34))+(AC34))+(AL34))+(AO34))+(AR34))+(AU34))+(AX34))+(BA34))+(BD34)</f>
        <v>822.24</v>
      </c>
      <c r="BH34" s="22">
        <f>(((((((((C34)+(R34))+(AD34))+(AM34))+(AP34))+(AS34))+(AV34))+(AY34))+(BB34))+(BE34)</f>
        <v>0</v>
      </c>
      <c r="BI34" s="23">
        <f>(BG34)-(BH34)</f>
        <v>822.24</v>
      </c>
      <c r="BJ34" s="21">
        <f>265.39</f>
        <v>265.39</v>
      </c>
      <c r="BK34" s="16"/>
      <c r="BL34" s="23">
        <f>(BJ34)-(BK34)</f>
        <v>265.39</v>
      </c>
      <c r="BM34" s="19"/>
      <c r="BN34" s="16"/>
      <c r="BO34" s="23"/>
      <c r="BP34" s="19"/>
      <c r="BQ34" s="16"/>
      <c r="BR34" s="23"/>
      <c r="BS34" s="19"/>
      <c r="BT34" s="16"/>
      <c r="BU34" s="23"/>
      <c r="BV34" s="21">
        <f>30.04</f>
        <v>30.04</v>
      </c>
      <c r="BW34" s="16"/>
      <c r="BX34" s="23">
        <f>(BV34)-(BW34)</f>
        <v>30.04</v>
      </c>
      <c r="BY34" s="19"/>
      <c r="BZ34" s="16"/>
      <c r="CA34" s="23"/>
      <c r="CB34" s="21">
        <f>((((BM34)+(BP34))+(BS34))+(BV34))+(BY34)</f>
        <v>30.04</v>
      </c>
      <c r="CC34" s="22">
        <f>((((BN34)+(BQ34))+(BT34))+(BW34))+(BZ34)</f>
        <v>0</v>
      </c>
      <c r="CD34" s="23">
        <f>(CB34)-(CC34)</f>
        <v>30.04</v>
      </c>
      <c r="CE34" s="21">
        <f>((BG34)+(BJ34))+(CB34)</f>
        <v>1117.67</v>
      </c>
      <c r="CF34" s="22"/>
      <c r="CG34" s="23">
        <f>(CE34)-(CF34)</f>
        <v>1117.67</v>
      </c>
    </row>
    <row r="35" spans="1:85" x14ac:dyDescent="0.2">
      <c r="A35" s="3" t="s">
        <v>84</v>
      </c>
      <c r="B35" s="24">
        <f>(B33)+(B34)</f>
        <v>0</v>
      </c>
      <c r="C35" s="6">
        <f>(C33)+(C34)</f>
        <v>0</v>
      </c>
      <c r="D35" s="25">
        <f>(B35)-(C35)</f>
        <v>0</v>
      </c>
      <c r="E35" s="24">
        <f>(E33)+(E34)</f>
        <v>0</v>
      </c>
      <c r="F35" s="6">
        <f>(F33)+(F34)</f>
        <v>0</v>
      </c>
      <c r="G35" s="25">
        <f>(E35)-(F35)</f>
        <v>0</v>
      </c>
      <c r="H35" s="24">
        <f>(H33)+(H34)</f>
        <v>0</v>
      </c>
      <c r="I35" s="6">
        <f>(I33)+(I34)</f>
        <v>0</v>
      </c>
      <c r="J35" s="25">
        <f>(H35)-(I35)</f>
        <v>0</v>
      </c>
      <c r="K35" s="24">
        <f>(K33)+(K34)</f>
        <v>0</v>
      </c>
      <c r="L35" s="6">
        <f>(L33)+(L34)</f>
        <v>0</v>
      </c>
      <c r="M35" s="25">
        <f>(K35)-(L35)</f>
        <v>0</v>
      </c>
      <c r="N35" s="24">
        <f>(N33)+(N34)</f>
        <v>0</v>
      </c>
      <c r="O35" s="6">
        <f>(O33)+(O34)</f>
        <v>0</v>
      </c>
      <c r="P35" s="25">
        <f>(N35)-(O35)</f>
        <v>0</v>
      </c>
      <c r="Q35" s="24">
        <f>(((E35)+(H35))+(K35))+(N35)</f>
        <v>0</v>
      </c>
      <c r="R35" s="6">
        <f>(((F35)+(I35))+(L35))+(O35)</f>
        <v>0</v>
      </c>
      <c r="S35" s="25">
        <f>(Q35)-(R35)</f>
        <v>0</v>
      </c>
      <c r="T35" s="24">
        <f>(T33)+(T34)</f>
        <v>0</v>
      </c>
      <c r="U35" s="6">
        <f>(U33)+(U34)</f>
        <v>0</v>
      </c>
      <c r="V35" s="25">
        <f>(T35)-(U35)</f>
        <v>0</v>
      </c>
      <c r="W35" s="24">
        <f>(W33)+(W34)</f>
        <v>500</v>
      </c>
      <c r="X35" s="6">
        <f>(X33)+(X34)</f>
        <v>0</v>
      </c>
      <c r="Y35" s="25">
        <f>(W35)-(X35)</f>
        <v>500</v>
      </c>
      <c r="Z35" s="24">
        <f>(Z33)+(Z34)</f>
        <v>0</v>
      </c>
      <c r="AA35" s="6">
        <f>(AA33)+(AA34)</f>
        <v>0</v>
      </c>
      <c r="AB35" s="25">
        <f>(Z35)-(AA35)</f>
        <v>0</v>
      </c>
      <c r="AC35" s="24">
        <f>((T35)+(W35))+(Z35)</f>
        <v>500</v>
      </c>
      <c r="AD35" s="6">
        <f>((U35)+(X35))+(AA35)</f>
        <v>0</v>
      </c>
      <c r="AE35" s="25">
        <f>(AC35)-(AD35)</f>
        <v>500</v>
      </c>
      <c r="AF35" s="24">
        <f>(AF33)+(AF34)</f>
        <v>0</v>
      </c>
      <c r="AG35" s="6">
        <f>(AG33)+(AG34)</f>
        <v>0</v>
      </c>
      <c r="AH35" s="25">
        <f>(AF35)-(AG35)</f>
        <v>0</v>
      </c>
      <c r="AI35" s="24">
        <f>(AI33)+(AI34)</f>
        <v>0</v>
      </c>
      <c r="AJ35" s="6">
        <f>(AJ33)+(AJ34)</f>
        <v>0</v>
      </c>
      <c r="AK35" s="25">
        <f>(AI35)-(AJ35)</f>
        <v>0</v>
      </c>
      <c r="AL35" s="24">
        <f>(AF35)+(AI35)</f>
        <v>0</v>
      </c>
      <c r="AM35" s="6">
        <f>(AG35)+(AJ35)</f>
        <v>0</v>
      </c>
      <c r="AN35" s="25">
        <f>(AL35)-(AM35)</f>
        <v>0</v>
      </c>
      <c r="AO35" s="24">
        <f>(AO33)+(AO34)</f>
        <v>0</v>
      </c>
      <c r="AP35" s="6">
        <f>(AP33)+(AP34)</f>
        <v>0</v>
      </c>
      <c r="AQ35" s="25">
        <f>(AO35)-(AP35)</f>
        <v>0</v>
      </c>
      <c r="AR35" s="24">
        <f>(AR33)+(AR34)</f>
        <v>0</v>
      </c>
      <c r="AS35" s="6">
        <f>(AS33)+(AS34)</f>
        <v>0</v>
      </c>
      <c r="AT35" s="25">
        <f>(AR35)-(AS35)</f>
        <v>0</v>
      </c>
      <c r="AU35" s="24">
        <f>(AU33)+(AU34)</f>
        <v>322.24</v>
      </c>
      <c r="AV35" s="6">
        <f>(AV33)+(AV34)</f>
        <v>0</v>
      </c>
      <c r="AW35" s="25">
        <f>(AU35)-(AV35)</f>
        <v>322.24</v>
      </c>
      <c r="AX35" s="24">
        <f>(AX33)+(AX34)</f>
        <v>0</v>
      </c>
      <c r="AY35" s="6">
        <f>(AY33)+(AY34)</f>
        <v>0</v>
      </c>
      <c r="AZ35" s="25">
        <f>(AX35)-(AY35)</f>
        <v>0</v>
      </c>
      <c r="BA35" s="24">
        <f>(BA33)+(BA34)</f>
        <v>0</v>
      </c>
      <c r="BB35" s="6">
        <f>(BB33)+(BB34)</f>
        <v>0</v>
      </c>
      <c r="BC35" s="25">
        <f>(BA35)-(BB35)</f>
        <v>0</v>
      </c>
      <c r="BD35" s="24">
        <f>(BD33)+(BD34)</f>
        <v>0</v>
      </c>
      <c r="BE35" s="6">
        <f>(BE33)+(BE34)</f>
        <v>0</v>
      </c>
      <c r="BF35" s="25">
        <f>(BD35)-(BE35)</f>
        <v>0</v>
      </c>
      <c r="BG35" s="24">
        <f>(((((((((B35)+(Q35))+(AC35))+(AL35))+(AO35))+(AR35))+(AU35))+(AX35))+(BA35))+(BD35)</f>
        <v>822.24</v>
      </c>
      <c r="BH35" s="6">
        <f>(((((((((C35)+(R35))+(AD35))+(AM35))+(AP35))+(AS35))+(AV35))+(AY35))+(BB35))+(BE35)</f>
        <v>0</v>
      </c>
      <c r="BI35" s="25">
        <f>(BG35)-(BH35)</f>
        <v>822.24</v>
      </c>
      <c r="BJ35" s="24">
        <f>(BJ33)+(BJ34)</f>
        <v>265.39</v>
      </c>
      <c r="BK35" s="6">
        <f>(BK33)+(BK34)</f>
        <v>0</v>
      </c>
      <c r="BL35" s="25">
        <f>(BJ35)-(BK35)</f>
        <v>265.39</v>
      </c>
      <c r="BM35" s="24">
        <f>(BM33)+(BM34)</f>
        <v>0</v>
      </c>
      <c r="BN35" s="6">
        <f>(BN33)+(BN34)</f>
        <v>0</v>
      </c>
      <c r="BO35" s="25">
        <f>(BM35)-(BN35)</f>
        <v>0</v>
      </c>
      <c r="BP35" s="24">
        <f>(BP33)+(BP34)</f>
        <v>0</v>
      </c>
      <c r="BQ35" s="6">
        <f>(BQ33)+(BQ34)</f>
        <v>0</v>
      </c>
      <c r="BR35" s="25">
        <f>(BP35)-(BQ35)</f>
        <v>0</v>
      </c>
      <c r="BS35" s="24">
        <f>(BS33)+(BS34)</f>
        <v>0</v>
      </c>
      <c r="BT35" s="6">
        <f>(BT33)+(BT34)</f>
        <v>0</v>
      </c>
      <c r="BU35" s="25">
        <f>(BS35)-(BT35)</f>
        <v>0</v>
      </c>
      <c r="BV35" s="24">
        <f>(BV33)+(BV34)</f>
        <v>30.04</v>
      </c>
      <c r="BW35" s="6">
        <f>(BW33)+(BW34)</f>
        <v>0</v>
      </c>
      <c r="BX35" s="25">
        <f>(BV35)-(BW35)</f>
        <v>30.04</v>
      </c>
      <c r="BY35" s="24">
        <f>(BY33)+(BY34)</f>
        <v>0</v>
      </c>
      <c r="BZ35" s="6">
        <f>(BZ33)+(BZ34)</f>
        <v>0</v>
      </c>
      <c r="CA35" s="25">
        <f>(BY35)-(BZ35)</f>
        <v>0</v>
      </c>
      <c r="CB35" s="24">
        <f>((((BM35)+(BP35))+(BS35))+(BV35))+(BY35)</f>
        <v>30.04</v>
      </c>
      <c r="CC35" s="6">
        <f>((((BN35)+(BQ35))+(BT35))+(BW35))+(BZ35)</f>
        <v>0</v>
      </c>
      <c r="CD35" s="25">
        <f>(CB35)-(CC35)</f>
        <v>30.04</v>
      </c>
      <c r="CE35" s="24">
        <f>((BG35)+(BJ35))+(CB35)</f>
        <v>1117.67</v>
      </c>
      <c r="CF35" s="6">
        <f>((BH35)+(BK35))+(CC35)</f>
        <v>0</v>
      </c>
      <c r="CG35" s="25">
        <f>(CE35)-(CF35)</f>
        <v>1117.67</v>
      </c>
    </row>
    <row r="36" spans="1:85" x14ac:dyDescent="0.2">
      <c r="A36" s="3"/>
      <c r="B36" s="26"/>
      <c r="C36" s="9"/>
      <c r="D36" s="27"/>
      <c r="E36" s="26"/>
      <c r="F36" s="9"/>
      <c r="G36" s="27"/>
      <c r="H36" s="26"/>
      <c r="I36" s="9"/>
      <c r="J36" s="27"/>
      <c r="K36" s="26"/>
      <c r="L36" s="9"/>
      <c r="M36" s="27"/>
      <c r="N36" s="26"/>
      <c r="O36" s="9"/>
      <c r="P36" s="27"/>
      <c r="Q36" s="26"/>
      <c r="R36" s="9"/>
      <c r="S36" s="27"/>
      <c r="T36" s="26"/>
      <c r="U36" s="9"/>
      <c r="V36" s="27"/>
      <c r="W36" s="26"/>
      <c r="X36" s="9"/>
      <c r="Y36" s="27"/>
      <c r="Z36" s="26"/>
      <c r="AA36" s="9"/>
      <c r="AB36" s="27"/>
      <c r="AC36" s="26"/>
      <c r="AD36" s="9"/>
      <c r="AE36" s="27"/>
      <c r="AF36" s="26"/>
      <c r="AG36" s="9"/>
      <c r="AH36" s="27"/>
      <c r="AI36" s="26"/>
      <c r="AJ36" s="9"/>
      <c r="AK36" s="27"/>
      <c r="AL36" s="26"/>
      <c r="AM36" s="9"/>
      <c r="AN36" s="27"/>
      <c r="AO36" s="26"/>
      <c r="AP36" s="9"/>
      <c r="AQ36" s="27"/>
      <c r="AR36" s="26"/>
      <c r="AS36" s="9"/>
      <c r="AT36" s="27"/>
      <c r="AU36" s="26"/>
      <c r="AV36" s="9"/>
      <c r="AW36" s="27"/>
      <c r="AX36" s="26"/>
      <c r="AY36" s="9"/>
      <c r="AZ36" s="27"/>
      <c r="BA36" s="26"/>
      <c r="BB36" s="9"/>
      <c r="BC36" s="27"/>
      <c r="BD36" s="26"/>
      <c r="BE36" s="9"/>
      <c r="BF36" s="27"/>
      <c r="BG36" s="26"/>
      <c r="BH36" s="9"/>
      <c r="BI36" s="27"/>
      <c r="BJ36" s="26"/>
      <c r="BK36" s="9"/>
      <c r="BL36" s="27"/>
      <c r="BM36" s="26"/>
      <c r="BN36" s="9"/>
      <c r="BO36" s="27"/>
      <c r="BP36" s="26"/>
      <c r="BQ36" s="9"/>
      <c r="BR36" s="27"/>
      <c r="BS36" s="26"/>
      <c r="BT36" s="9"/>
      <c r="BU36" s="27"/>
      <c r="BV36" s="26"/>
      <c r="BW36" s="9"/>
      <c r="BX36" s="27"/>
      <c r="BY36" s="26"/>
      <c r="BZ36" s="9"/>
      <c r="CA36" s="27"/>
      <c r="CB36" s="26"/>
      <c r="CC36" s="9"/>
      <c r="CD36" s="27"/>
      <c r="CE36" s="26"/>
      <c r="CF36" s="9"/>
      <c r="CG36" s="27"/>
    </row>
    <row r="37" spans="1:85" x14ac:dyDescent="0.2">
      <c r="A37" s="3" t="s">
        <v>83</v>
      </c>
      <c r="B37" s="19"/>
      <c r="C37" s="16"/>
      <c r="D37" s="23"/>
      <c r="E37" s="21"/>
      <c r="F37" s="22"/>
      <c r="G37" s="23"/>
      <c r="H37" s="19"/>
      <c r="I37" s="16"/>
      <c r="J37" s="23"/>
      <c r="K37" s="19"/>
      <c r="L37" s="16"/>
      <c r="M37" s="23"/>
      <c r="N37" s="21"/>
      <c r="O37" s="22"/>
      <c r="P37" s="23"/>
      <c r="Q37" s="19"/>
      <c r="R37" s="16"/>
      <c r="S37" s="23"/>
      <c r="T37" s="19"/>
      <c r="U37" s="16"/>
      <c r="V37" s="23"/>
      <c r="W37" s="21"/>
      <c r="X37" s="22"/>
      <c r="Y37" s="23"/>
      <c r="Z37" s="19"/>
      <c r="AA37" s="16"/>
      <c r="AB37" s="23"/>
      <c r="AC37" s="21"/>
      <c r="AD37" s="22"/>
      <c r="AE37" s="23"/>
      <c r="AF37" s="19"/>
      <c r="AG37" s="16"/>
      <c r="AH37" s="23"/>
      <c r="AI37" s="21"/>
      <c r="AJ37" s="22"/>
      <c r="AK37" s="23"/>
      <c r="AL37" s="19"/>
      <c r="AM37" s="16"/>
      <c r="AN37" s="23"/>
      <c r="AO37" s="21"/>
      <c r="AP37" s="22"/>
      <c r="AQ37" s="23"/>
      <c r="AR37" s="19"/>
      <c r="AS37" s="16"/>
      <c r="AT37" s="23"/>
      <c r="AU37" s="21"/>
      <c r="AV37" s="22"/>
      <c r="AW37" s="23"/>
      <c r="AX37" s="19"/>
      <c r="AY37" s="16"/>
      <c r="AZ37" s="23"/>
      <c r="BA37" s="21"/>
      <c r="BB37" s="22"/>
      <c r="BC37" s="23"/>
      <c r="BD37" s="19"/>
      <c r="BE37" s="16"/>
      <c r="BF37" s="23"/>
      <c r="BG37" s="21"/>
      <c r="BH37" s="22"/>
      <c r="BI37" s="23"/>
      <c r="BJ37" s="19"/>
      <c r="BK37" s="16"/>
      <c r="BL37" s="23"/>
      <c r="BM37" s="19"/>
      <c r="BN37" s="16"/>
      <c r="BO37" s="23"/>
      <c r="BP37" s="19"/>
      <c r="BQ37" s="16"/>
      <c r="BR37" s="23"/>
      <c r="BS37" s="19"/>
      <c r="BT37" s="16"/>
      <c r="BU37" s="23"/>
      <c r="BV37" s="19"/>
      <c r="BW37" s="16"/>
      <c r="BX37" s="23"/>
      <c r="BY37" s="19"/>
      <c r="BZ37" s="16"/>
      <c r="CA37" s="23"/>
      <c r="CB37" s="21"/>
      <c r="CC37" s="22"/>
      <c r="CD37" s="23"/>
      <c r="CE37" s="21"/>
      <c r="CF37" s="22"/>
      <c r="CG37" s="23"/>
    </row>
    <row r="38" spans="1:85" x14ac:dyDescent="0.2">
      <c r="A38" s="3" t="s">
        <v>82</v>
      </c>
      <c r="B38" s="19"/>
      <c r="C38" s="16"/>
      <c r="D38" s="23"/>
      <c r="E38" s="21"/>
      <c r="F38" s="22"/>
      <c r="G38" s="23"/>
      <c r="H38" s="19">
        <f>3012.5</f>
        <v>3012.5</v>
      </c>
      <c r="I38" s="16"/>
      <c r="J38" s="23">
        <f>(H38)-(I38)</f>
        <v>3012.5</v>
      </c>
      <c r="K38" s="19"/>
      <c r="L38" s="16"/>
      <c r="M38" s="23"/>
      <c r="N38" s="21"/>
      <c r="O38" s="22"/>
      <c r="P38" s="23"/>
      <c r="Q38" s="19">
        <f>(((E38)+(H38))+(K38))+(N38)</f>
        <v>3012.5</v>
      </c>
      <c r="R38" s="16"/>
      <c r="S38" s="23">
        <f>(Q38)-(R38)</f>
        <v>3012.5</v>
      </c>
      <c r="T38" s="19"/>
      <c r="U38" s="16"/>
      <c r="V38" s="23"/>
      <c r="W38" s="21"/>
      <c r="X38" s="22"/>
      <c r="Y38" s="23"/>
      <c r="Z38" s="19"/>
      <c r="AA38" s="16"/>
      <c r="AB38" s="23"/>
      <c r="AC38" s="21"/>
      <c r="AD38" s="22"/>
      <c r="AE38" s="23"/>
      <c r="AF38" s="19"/>
      <c r="AG38" s="16"/>
      <c r="AH38" s="23"/>
      <c r="AI38" s="21"/>
      <c r="AJ38" s="22"/>
      <c r="AK38" s="23"/>
      <c r="AL38" s="19"/>
      <c r="AM38" s="16"/>
      <c r="AN38" s="23"/>
      <c r="AO38" s="21"/>
      <c r="AP38" s="22"/>
      <c r="AQ38" s="23"/>
      <c r="AR38" s="19"/>
      <c r="AS38" s="16"/>
      <c r="AT38" s="23"/>
      <c r="AU38" s="21"/>
      <c r="AV38" s="22"/>
      <c r="AW38" s="23"/>
      <c r="AX38" s="19"/>
      <c r="AY38" s="16"/>
      <c r="AZ38" s="23"/>
      <c r="BA38" s="21"/>
      <c r="BB38" s="22"/>
      <c r="BC38" s="23"/>
      <c r="BD38" s="19"/>
      <c r="BE38" s="16"/>
      <c r="BF38" s="23"/>
      <c r="BG38" s="21">
        <f>(((((((((B38)+(Q38))+(AC38))+(AL38))+(AO38))+(AR38))+(AU38))+(AX38))+(BA38))+(BD38)</f>
        <v>3012.5</v>
      </c>
      <c r="BH38" s="22"/>
      <c r="BI38" s="23">
        <f>(BG38)-(BH38)</f>
        <v>3012.5</v>
      </c>
      <c r="BJ38" s="19"/>
      <c r="BK38" s="16"/>
      <c r="BL38" s="23"/>
      <c r="BM38" s="19"/>
      <c r="BN38" s="16"/>
      <c r="BO38" s="23"/>
      <c r="BP38" s="21">
        <f>13324.99</f>
        <v>13324.99</v>
      </c>
      <c r="BQ38" s="22">
        <f>9089</f>
        <v>9089</v>
      </c>
      <c r="BR38" s="23">
        <f>(BP38)-(BQ38)</f>
        <v>4235.99</v>
      </c>
      <c r="BS38" s="21">
        <f>825</f>
        <v>825</v>
      </c>
      <c r="BT38" s="16"/>
      <c r="BU38" s="23">
        <f>(BS38)-(BT38)</f>
        <v>825</v>
      </c>
      <c r="BV38" s="19"/>
      <c r="BW38" s="16"/>
      <c r="BX38" s="23"/>
      <c r="BY38" s="21">
        <f>185</f>
        <v>185</v>
      </c>
      <c r="BZ38" s="22">
        <f>50</f>
        <v>50</v>
      </c>
      <c r="CA38" s="23">
        <f>(BY38)-(BZ38)</f>
        <v>135</v>
      </c>
      <c r="CB38" s="21">
        <f>((((BM38)+(BP38))+(BS38))+(BV38))+(BY38)</f>
        <v>14334.99</v>
      </c>
      <c r="CC38" s="22">
        <f>((((BN38)+(BQ38))+(BT38))+(BW38))+(BZ38)</f>
        <v>9139</v>
      </c>
      <c r="CD38" s="23">
        <f>(CB38)-(CC38)</f>
        <v>5195.99</v>
      </c>
      <c r="CE38" s="21">
        <f>((BG38)+(BJ38))+(CB38)</f>
        <v>17347.489999999998</v>
      </c>
      <c r="CF38" s="22">
        <f>((BH38)+(BK38))+(CC38)</f>
        <v>9139</v>
      </c>
      <c r="CG38" s="23">
        <f>(CE38)-(CF38)</f>
        <v>8208.489999999998</v>
      </c>
    </row>
    <row r="39" spans="1:85" x14ac:dyDescent="0.2">
      <c r="A39" s="3" t="s">
        <v>81</v>
      </c>
      <c r="B39" s="19"/>
      <c r="C39" s="16"/>
      <c r="D39" s="23"/>
      <c r="E39" s="21"/>
      <c r="F39" s="22"/>
      <c r="G39" s="23"/>
      <c r="H39" s="19"/>
      <c r="I39" s="16"/>
      <c r="J39" s="23"/>
      <c r="K39" s="19"/>
      <c r="L39" s="16"/>
      <c r="M39" s="23"/>
      <c r="N39" s="21"/>
      <c r="O39" s="22"/>
      <c r="P39" s="23"/>
      <c r="Q39" s="19"/>
      <c r="R39" s="16"/>
      <c r="S39" s="23"/>
      <c r="T39" s="19"/>
      <c r="U39" s="16"/>
      <c r="V39" s="23"/>
      <c r="W39" s="21"/>
      <c r="X39" s="22"/>
      <c r="Y39" s="23"/>
      <c r="Z39" s="19"/>
      <c r="AA39" s="16"/>
      <c r="AB39" s="23"/>
      <c r="AC39" s="21"/>
      <c r="AD39" s="22"/>
      <c r="AE39" s="23"/>
      <c r="AF39" s="19"/>
      <c r="AG39" s="16"/>
      <c r="AH39" s="23"/>
      <c r="AI39" s="21"/>
      <c r="AJ39" s="22"/>
      <c r="AK39" s="23"/>
      <c r="AL39" s="19"/>
      <c r="AM39" s="16"/>
      <c r="AN39" s="23"/>
      <c r="AO39" s="21"/>
      <c r="AP39" s="22"/>
      <c r="AQ39" s="23"/>
      <c r="AR39" s="19"/>
      <c r="AS39" s="16"/>
      <c r="AT39" s="23"/>
      <c r="AU39" s="21">
        <f>-50</f>
        <v>-50</v>
      </c>
      <c r="AV39" s="22"/>
      <c r="AW39" s="23">
        <f>(AU39)-(AV39)</f>
        <v>-50</v>
      </c>
      <c r="AX39" s="19"/>
      <c r="AY39" s="16"/>
      <c r="AZ39" s="23"/>
      <c r="BA39" s="21"/>
      <c r="BB39" s="22"/>
      <c r="BC39" s="23"/>
      <c r="BD39" s="19"/>
      <c r="BE39" s="16"/>
      <c r="BF39" s="23"/>
      <c r="BG39" s="21">
        <f>(((((((((B39)+(Q39))+(AC39))+(AL39))+(AO39))+(AR39))+(AU39))+(AX39))+(BA39))+(BD39)</f>
        <v>-50</v>
      </c>
      <c r="BH39" s="22"/>
      <c r="BI39" s="23">
        <f>(BG39)-(BH39)</f>
        <v>-50</v>
      </c>
      <c r="BJ39" s="19"/>
      <c r="BK39" s="16"/>
      <c r="BL39" s="23"/>
      <c r="BM39" s="19"/>
      <c r="BN39" s="16"/>
      <c r="BO39" s="23"/>
      <c r="BP39" s="21">
        <f>-5500</f>
        <v>-5500</v>
      </c>
      <c r="BQ39" s="16"/>
      <c r="BR39" s="23">
        <f>(BP39)-(BQ39)</f>
        <v>-5500</v>
      </c>
      <c r="BS39" s="19"/>
      <c r="BT39" s="16"/>
      <c r="BU39" s="23"/>
      <c r="BV39" s="19"/>
      <c r="BW39" s="16"/>
      <c r="BX39" s="23"/>
      <c r="BY39" s="19"/>
      <c r="BZ39" s="16"/>
      <c r="CA39" s="23"/>
      <c r="CB39" s="21">
        <f>((((BM39)+(BP39))+(BS39))+(BV39))+(BY39)</f>
        <v>-5500</v>
      </c>
      <c r="CC39" s="22"/>
      <c r="CD39" s="23">
        <f>(CB39)-(CC39)</f>
        <v>-5500</v>
      </c>
      <c r="CE39" s="21">
        <f>((BG39)+(BJ39))+(CB39)</f>
        <v>-5550</v>
      </c>
      <c r="CF39" s="22"/>
      <c r="CG39" s="23">
        <f>(CE39)-(CF39)</f>
        <v>-5550</v>
      </c>
    </row>
    <row r="40" spans="1:85" x14ac:dyDescent="0.2">
      <c r="A40" s="3" t="s">
        <v>80</v>
      </c>
      <c r="B40" s="19"/>
      <c r="C40" s="16"/>
      <c r="D40" s="23"/>
      <c r="E40" s="21"/>
      <c r="F40" s="22"/>
      <c r="G40" s="23"/>
      <c r="H40" s="19"/>
      <c r="I40" s="16"/>
      <c r="J40" s="23"/>
      <c r="K40" s="19"/>
      <c r="L40" s="16"/>
      <c r="M40" s="23"/>
      <c r="N40" s="21"/>
      <c r="O40" s="22"/>
      <c r="P40" s="23"/>
      <c r="Q40" s="19"/>
      <c r="R40" s="16"/>
      <c r="S40" s="23"/>
      <c r="T40" s="19"/>
      <c r="U40" s="16"/>
      <c r="V40" s="23"/>
      <c r="W40" s="21"/>
      <c r="X40" s="22"/>
      <c r="Y40" s="23"/>
      <c r="Z40" s="19"/>
      <c r="AA40" s="16"/>
      <c r="AB40" s="23"/>
      <c r="AC40" s="21"/>
      <c r="AD40" s="22"/>
      <c r="AE40" s="23"/>
      <c r="AF40" s="19"/>
      <c r="AG40" s="16"/>
      <c r="AH40" s="23"/>
      <c r="AI40" s="21"/>
      <c r="AJ40" s="22"/>
      <c r="AK40" s="23"/>
      <c r="AL40" s="19"/>
      <c r="AM40" s="16"/>
      <c r="AN40" s="23"/>
      <c r="AO40" s="21"/>
      <c r="AP40" s="22"/>
      <c r="AQ40" s="23"/>
      <c r="AR40" s="19"/>
      <c r="AS40" s="16"/>
      <c r="AT40" s="23"/>
      <c r="AU40" s="21"/>
      <c r="AV40" s="22"/>
      <c r="AW40" s="23"/>
      <c r="AX40" s="19"/>
      <c r="AY40" s="16"/>
      <c r="AZ40" s="23"/>
      <c r="BA40" s="21"/>
      <c r="BB40" s="22"/>
      <c r="BC40" s="23"/>
      <c r="BD40" s="19"/>
      <c r="BE40" s="16"/>
      <c r="BF40" s="23"/>
      <c r="BG40" s="21"/>
      <c r="BH40" s="22"/>
      <c r="BI40" s="23"/>
      <c r="BJ40" s="19"/>
      <c r="BK40" s="16"/>
      <c r="BL40" s="23"/>
      <c r="BM40" s="19"/>
      <c r="BN40" s="16"/>
      <c r="BO40" s="23"/>
      <c r="BP40" s="21">
        <f>9835</f>
        <v>9835</v>
      </c>
      <c r="BQ40" s="22">
        <f>7781</f>
        <v>7781</v>
      </c>
      <c r="BR40" s="23">
        <f>(BP40)-(BQ40)</f>
        <v>2054</v>
      </c>
      <c r="BS40" s="19"/>
      <c r="BT40" s="16"/>
      <c r="BU40" s="23"/>
      <c r="BV40" s="19"/>
      <c r="BW40" s="16"/>
      <c r="BX40" s="23"/>
      <c r="BY40" s="19"/>
      <c r="BZ40" s="16"/>
      <c r="CA40" s="23"/>
      <c r="CB40" s="21">
        <f>((((BM40)+(BP40))+(BS40))+(BV40))+(BY40)</f>
        <v>9835</v>
      </c>
      <c r="CC40" s="22">
        <f>((((BN40)+(BQ40))+(BT40))+(BW40))+(BZ40)</f>
        <v>7781</v>
      </c>
      <c r="CD40" s="23">
        <f>(CB40)-(CC40)</f>
        <v>2054</v>
      </c>
      <c r="CE40" s="21">
        <f>((BG40)+(BJ40))+(CB40)</f>
        <v>9835</v>
      </c>
      <c r="CF40" s="22">
        <f>((BH40)+(BK40))+(CC40)</f>
        <v>7781</v>
      </c>
      <c r="CG40" s="23">
        <f>(CE40)-(CF40)</f>
        <v>2054</v>
      </c>
    </row>
    <row r="41" spans="1:85" x14ac:dyDescent="0.2">
      <c r="A41" s="3" t="s">
        <v>79</v>
      </c>
      <c r="B41" s="24">
        <f>(((B37)+(B38))+(B39))+(B40)</f>
        <v>0</v>
      </c>
      <c r="C41" s="6">
        <f>(((C37)+(C38))+(C39))+(C40)</f>
        <v>0</v>
      </c>
      <c r="D41" s="25">
        <f>(B41)-(C41)</f>
        <v>0</v>
      </c>
      <c r="E41" s="24">
        <f>(((E37)+(E38))+(E39))+(E40)</f>
        <v>0</v>
      </c>
      <c r="F41" s="6">
        <f>(((F37)+(F38))+(F39))+(F40)</f>
        <v>0</v>
      </c>
      <c r="G41" s="25">
        <f>(E41)-(F41)</f>
        <v>0</v>
      </c>
      <c r="H41" s="24">
        <f>(((H37)+(H38))+(H39))+(H40)</f>
        <v>3012.5</v>
      </c>
      <c r="I41" s="6">
        <f>(((I37)+(I38))+(I39))+(I40)</f>
        <v>0</v>
      </c>
      <c r="J41" s="25">
        <f>(H41)-(I41)</f>
        <v>3012.5</v>
      </c>
      <c r="K41" s="24">
        <f>(((K37)+(K38))+(K39))+(K40)</f>
        <v>0</v>
      </c>
      <c r="L41" s="6">
        <f>(((L37)+(L38))+(L39))+(L40)</f>
        <v>0</v>
      </c>
      <c r="M41" s="25">
        <f>(K41)-(L41)</f>
        <v>0</v>
      </c>
      <c r="N41" s="24">
        <f>(((N37)+(N38))+(N39))+(N40)</f>
        <v>0</v>
      </c>
      <c r="O41" s="6">
        <f>(((O37)+(O38))+(O39))+(O40)</f>
        <v>0</v>
      </c>
      <c r="P41" s="25">
        <f>(N41)-(O41)</f>
        <v>0</v>
      </c>
      <c r="Q41" s="24">
        <f>(((E41)+(H41))+(K41))+(N41)</f>
        <v>3012.5</v>
      </c>
      <c r="R41" s="6">
        <f>(((F41)+(I41))+(L41))+(O41)</f>
        <v>0</v>
      </c>
      <c r="S41" s="25">
        <f>(Q41)-(R41)</f>
        <v>3012.5</v>
      </c>
      <c r="T41" s="24">
        <f>(((T37)+(T38))+(T39))+(T40)</f>
        <v>0</v>
      </c>
      <c r="U41" s="6">
        <f>(((U37)+(U38))+(U39))+(U40)</f>
        <v>0</v>
      </c>
      <c r="V41" s="25">
        <f>(T41)-(U41)</f>
        <v>0</v>
      </c>
      <c r="W41" s="24">
        <f>(((W37)+(W38))+(W39))+(W40)</f>
        <v>0</v>
      </c>
      <c r="X41" s="6">
        <f>(((X37)+(X38))+(X39))+(X40)</f>
        <v>0</v>
      </c>
      <c r="Y41" s="25">
        <f>(W41)-(X41)</f>
        <v>0</v>
      </c>
      <c r="Z41" s="24">
        <f>(((Z37)+(Z38))+(Z39))+(Z40)</f>
        <v>0</v>
      </c>
      <c r="AA41" s="6">
        <f>(((AA37)+(AA38))+(AA39))+(AA40)</f>
        <v>0</v>
      </c>
      <c r="AB41" s="25">
        <f>(Z41)-(AA41)</f>
        <v>0</v>
      </c>
      <c r="AC41" s="24">
        <f>((T41)+(W41))+(Z41)</f>
        <v>0</v>
      </c>
      <c r="AD41" s="6">
        <f>((U41)+(X41))+(AA41)</f>
        <v>0</v>
      </c>
      <c r="AE41" s="25">
        <f>(AC41)-(AD41)</f>
        <v>0</v>
      </c>
      <c r="AF41" s="24">
        <f>(((AF37)+(AF38))+(AF39))+(AF40)</f>
        <v>0</v>
      </c>
      <c r="AG41" s="6">
        <f>(((AG37)+(AG38))+(AG39))+(AG40)</f>
        <v>0</v>
      </c>
      <c r="AH41" s="25">
        <f>(AF41)-(AG41)</f>
        <v>0</v>
      </c>
      <c r="AI41" s="24">
        <f>(((AI37)+(AI38))+(AI39))+(AI40)</f>
        <v>0</v>
      </c>
      <c r="AJ41" s="6">
        <f>(((AJ37)+(AJ38))+(AJ39))+(AJ40)</f>
        <v>0</v>
      </c>
      <c r="AK41" s="25">
        <f>(AI41)-(AJ41)</f>
        <v>0</v>
      </c>
      <c r="AL41" s="24">
        <f>(AF41)+(AI41)</f>
        <v>0</v>
      </c>
      <c r="AM41" s="6">
        <f>(AG41)+(AJ41)</f>
        <v>0</v>
      </c>
      <c r="AN41" s="25">
        <f>(AL41)-(AM41)</f>
        <v>0</v>
      </c>
      <c r="AO41" s="24">
        <f>(((AO37)+(AO38))+(AO39))+(AO40)</f>
        <v>0</v>
      </c>
      <c r="AP41" s="6">
        <f>(((AP37)+(AP38))+(AP39))+(AP40)</f>
        <v>0</v>
      </c>
      <c r="AQ41" s="25">
        <f>(AO41)-(AP41)</f>
        <v>0</v>
      </c>
      <c r="AR41" s="24">
        <f>(((AR37)+(AR38))+(AR39))+(AR40)</f>
        <v>0</v>
      </c>
      <c r="AS41" s="6">
        <f>(((AS37)+(AS38))+(AS39))+(AS40)</f>
        <v>0</v>
      </c>
      <c r="AT41" s="25">
        <f>(AR41)-(AS41)</f>
        <v>0</v>
      </c>
      <c r="AU41" s="24">
        <f>(((AU37)+(AU38))+(AU39))+(AU40)</f>
        <v>-50</v>
      </c>
      <c r="AV41" s="6">
        <f>(((AV37)+(AV38))+(AV39))+(AV40)</f>
        <v>0</v>
      </c>
      <c r="AW41" s="25">
        <f>(AU41)-(AV41)</f>
        <v>-50</v>
      </c>
      <c r="AX41" s="24">
        <f>(((AX37)+(AX38))+(AX39))+(AX40)</f>
        <v>0</v>
      </c>
      <c r="AY41" s="6">
        <f>(((AY37)+(AY38))+(AY39))+(AY40)</f>
        <v>0</v>
      </c>
      <c r="AZ41" s="25">
        <f>(AX41)-(AY41)</f>
        <v>0</v>
      </c>
      <c r="BA41" s="24">
        <f>(((BA37)+(BA38))+(BA39))+(BA40)</f>
        <v>0</v>
      </c>
      <c r="BB41" s="6">
        <f>(((BB37)+(BB38))+(BB39))+(BB40)</f>
        <v>0</v>
      </c>
      <c r="BC41" s="25">
        <f>(BA41)-(BB41)</f>
        <v>0</v>
      </c>
      <c r="BD41" s="24">
        <f>(((BD37)+(BD38))+(BD39))+(BD40)</f>
        <v>0</v>
      </c>
      <c r="BE41" s="6">
        <f>(((BE37)+(BE38))+(BE39))+(BE40)</f>
        <v>0</v>
      </c>
      <c r="BF41" s="25">
        <f>(BD41)-(BE41)</f>
        <v>0</v>
      </c>
      <c r="BG41" s="24">
        <f>(((((((((B41)+(Q41))+(AC41))+(AL41))+(AO41))+(AR41))+(AU41))+(AX41))+(BA41))+(BD41)</f>
        <v>2962.5</v>
      </c>
      <c r="BH41" s="6">
        <f>(((((((((C41)+(R41))+(AD41))+(AM41))+(AP41))+(AS41))+(AV41))+(AY41))+(BB41))+(BE41)</f>
        <v>0</v>
      </c>
      <c r="BI41" s="25">
        <f>(BG41)-(BH41)</f>
        <v>2962.5</v>
      </c>
      <c r="BJ41" s="24">
        <f>(((BJ37)+(BJ38))+(BJ39))+(BJ40)</f>
        <v>0</v>
      </c>
      <c r="BK41" s="6">
        <f>(((BK37)+(BK38))+(BK39))+(BK40)</f>
        <v>0</v>
      </c>
      <c r="BL41" s="25">
        <f>(BJ41)-(BK41)</f>
        <v>0</v>
      </c>
      <c r="BM41" s="24">
        <f>(((BM37)+(BM38))+(BM39))+(BM40)</f>
        <v>0</v>
      </c>
      <c r="BN41" s="6">
        <f>(((BN37)+(BN38))+(BN39))+(BN40)</f>
        <v>0</v>
      </c>
      <c r="BO41" s="25">
        <f>(BM41)-(BN41)</f>
        <v>0</v>
      </c>
      <c r="BP41" s="24">
        <f>(((BP37)+(BP38))+(BP39))+(BP40)</f>
        <v>17659.989999999998</v>
      </c>
      <c r="BQ41" s="6">
        <f>(((BQ37)+(BQ38))+(BQ39))+(BQ40)</f>
        <v>16870</v>
      </c>
      <c r="BR41" s="25">
        <f>(BP41)-(BQ41)</f>
        <v>789.98999999999796</v>
      </c>
      <c r="BS41" s="24">
        <f>(((BS37)+(BS38))+(BS39))+(BS40)</f>
        <v>825</v>
      </c>
      <c r="BT41" s="6">
        <f>(((BT37)+(BT38))+(BT39))+(BT40)</f>
        <v>0</v>
      </c>
      <c r="BU41" s="25">
        <f>(BS41)-(BT41)</f>
        <v>825</v>
      </c>
      <c r="BV41" s="24">
        <f>(((BV37)+(BV38))+(BV39))+(BV40)</f>
        <v>0</v>
      </c>
      <c r="BW41" s="6">
        <f>(((BW37)+(BW38))+(BW39))+(BW40)</f>
        <v>0</v>
      </c>
      <c r="BX41" s="25">
        <f>(BV41)-(BW41)</f>
        <v>0</v>
      </c>
      <c r="BY41" s="24">
        <f>(((BY37)+(BY38))+(BY39))+(BY40)</f>
        <v>185</v>
      </c>
      <c r="BZ41" s="6">
        <f>(((BZ37)+(BZ38))+(BZ39))+(BZ40)</f>
        <v>50</v>
      </c>
      <c r="CA41" s="25">
        <f>(BY41)-(BZ41)</f>
        <v>135</v>
      </c>
      <c r="CB41" s="24">
        <f>((((BM41)+(BP41))+(BS41))+(BV41))+(BY41)</f>
        <v>18669.989999999998</v>
      </c>
      <c r="CC41" s="6">
        <f>((((BN41)+(BQ41))+(BT41))+(BW41))+(BZ41)</f>
        <v>16920</v>
      </c>
      <c r="CD41" s="25">
        <f>(CB41)-(CC41)</f>
        <v>1749.989999999998</v>
      </c>
      <c r="CE41" s="24">
        <f>((BG41)+(BJ41))+(CB41)</f>
        <v>21632.489999999998</v>
      </c>
      <c r="CF41" s="6">
        <f>((BH41)+(BK41))+(CC41)</f>
        <v>16920</v>
      </c>
      <c r="CG41" s="25">
        <f>(CE41)-(CF41)</f>
        <v>4712.489999999998</v>
      </c>
    </row>
    <row r="42" spans="1:85" x14ac:dyDescent="0.2">
      <c r="A42" s="3"/>
      <c r="B42" s="26"/>
      <c r="C42" s="9"/>
      <c r="D42" s="27"/>
      <c r="E42" s="26"/>
      <c r="F42" s="9"/>
      <c r="G42" s="27"/>
      <c r="H42" s="26"/>
      <c r="I42" s="9"/>
      <c r="J42" s="27"/>
      <c r="K42" s="26"/>
      <c r="L42" s="9"/>
      <c r="M42" s="27"/>
      <c r="N42" s="26"/>
      <c r="O42" s="9"/>
      <c r="P42" s="27"/>
      <c r="Q42" s="26"/>
      <c r="R42" s="9"/>
      <c r="S42" s="27"/>
      <c r="T42" s="26"/>
      <c r="U42" s="9"/>
      <c r="V42" s="27"/>
      <c r="W42" s="26"/>
      <c r="X42" s="9"/>
      <c r="Y42" s="27"/>
      <c r="Z42" s="26"/>
      <c r="AA42" s="9"/>
      <c r="AB42" s="27"/>
      <c r="AC42" s="26"/>
      <c r="AD42" s="9"/>
      <c r="AE42" s="27"/>
      <c r="AF42" s="26"/>
      <c r="AG42" s="9"/>
      <c r="AH42" s="27"/>
      <c r="AI42" s="26"/>
      <c r="AJ42" s="9"/>
      <c r="AK42" s="27"/>
      <c r="AL42" s="26"/>
      <c r="AM42" s="9"/>
      <c r="AN42" s="27"/>
      <c r="AO42" s="26"/>
      <c r="AP42" s="9"/>
      <c r="AQ42" s="27"/>
      <c r="AR42" s="26"/>
      <c r="AS42" s="9"/>
      <c r="AT42" s="27"/>
      <c r="AU42" s="26"/>
      <c r="AV42" s="9"/>
      <c r="AW42" s="27"/>
      <c r="AX42" s="26"/>
      <c r="AY42" s="9"/>
      <c r="AZ42" s="27"/>
      <c r="BA42" s="26"/>
      <c r="BB42" s="9"/>
      <c r="BC42" s="27"/>
      <c r="BD42" s="26"/>
      <c r="BE42" s="9"/>
      <c r="BF42" s="27"/>
      <c r="BG42" s="26"/>
      <c r="BH42" s="9"/>
      <c r="BI42" s="27"/>
      <c r="BJ42" s="26"/>
      <c r="BK42" s="9"/>
      <c r="BL42" s="27"/>
      <c r="BM42" s="26"/>
      <c r="BN42" s="9"/>
      <c r="BO42" s="27"/>
      <c r="BP42" s="26"/>
      <c r="BQ42" s="9"/>
      <c r="BR42" s="27"/>
      <c r="BS42" s="26"/>
      <c r="BT42" s="9"/>
      <c r="BU42" s="27"/>
      <c r="BV42" s="26"/>
      <c r="BW42" s="9"/>
      <c r="BX42" s="27"/>
      <c r="BY42" s="26"/>
      <c r="BZ42" s="9"/>
      <c r="CA42" s="27"/>
      <c r="CB42" s="26"/>
      <c r="CC42" s="9"/>
      <c r="CD42" s="27"/>
      <c r="CE42" s="26"/>
      <c r="CF42" s="9"/>
      <c r="CG42" s="27"/>
    </row>
    <row r="43" spans="1:85" x14ac:dyDescent="0.2">
      <c r="A43" s="3" t="s">
        <v>78</v>
      </c>
      <c r="B43" s="24">
        <f>(((((B11)+(B16))+(B20))+(B31))+(B35))+(B41)</f>
        <v>0</v>
      </c>
      <c r="C43" s="6">
        <f>(((((C11)+(C16))+(C20))+(C31))+(C35))+(C41)</f>
        <v>1500</v>
      </c>
      <c r="D43" s="25">
        <f>(B43)-(C43)</f>
        <v>-1500</v>
      </c>
      <c r="E43" s="24">
        <f>(((((E11)+(E16))+(E20))+(E31))+(E35))+(E41)</f>
        <v>2110</v>
      </c>
      <c r="F43" s="6">
        <f>(((((F11)+(F16))+(F20))+(F31))+(F35))+(F41)</f>
        <v>1050</v>
      </c>
      <c r="G43" s="25">
        <f>(E43)-(F43)</f>
        <v>1060</v>
      </c>
      <c r="H43" s="24">
        <f>(((((H11)+(H16))+(H20))+(H31))+(H35))+(H41)</f>
        <v>3112.5</v>
      </c>
      <c r="I43" s="6">
        <f>(((((I11)+(I16))+(I20))+(I31))+(I35))+(I41)</f>
        <v>0</v>
      </c>
      <c r="J43" s="25">
        <f>(H43)-(I43)</f>
        <v>3112.5</v>
      </c>
      <c r="K43" s="24">
        <f>(((((K11)+(K16))+(K20))+(K31))+(K35))+(K41)</f>
        <v>0</v>
      </c>
      <c r="L43" s="6">
        <f>(((((L11)+(L16))+(L20))+(L31))+(L35))+(L41)</f>
        <v>0</v>
      </c>
      <c r="M43" s="25">
        <f>(K43)-(L43)</f>
        <v>0</v>
      </c>
      <c r="N43" s="24">
        <f>(((((N11)+(N16))+(N20))+(N31))+(N35))+(N41)</f>
        <v>40500</v>
      </c>
      <c r="O43" s="6">
        <f>(((((O11)+(O16))+(O20))+(O31))+(O35))+(O41)</f>
        <v>0</v>
      </c>
      <c r="P43" s="25">
        <f>(N43)-(O43)</f>
        <v>40500</v>
      </c>
      <c r="Q43" s="24">
        <f>(((E43)+(H43))+(K43))+(N43)</f>
        <v>45722.5</v>
      </c>
      <c r="R43" s="6">
        <f>(((F43)+(I43))+(L43))+(O43)</f>
        <v>1050</v>
      </c>
      <c r="S43" s="25">
        <f>(Q43)-(R43)</f>
        <v>44672.5</v>
      </c>
      <c r="T43" s="24">
        <f>(((((T11)+(T16))+(T20))+(T31))+(T35))+(T41)</f>
        <v>0</v>
      </c>
      <c r="U43" s="6">
        <f>(((((U11)+(U16))+(U20))+(U31))+(U35))+(U41)</f>
        <v>0</v>
      </c>
      <c r="V43" s="25">
        <f>(T43)-(U43)</f>
        <v>0</v>
      </c>
      <c r="W43" s="24">
        <f>(((((W11)+(W16))+(W20))+(W31))+(W35))+(W41)</f>
        <v>27266.09</v>
      </c>
      <c r="X43" s="6">
        <f>(((((X11)+(X16))+(X20))+(X31))+(X35))+(X41)</f>
        <v>40000</v>
      </c>
      <c r="Y43" s="25">
        <f>(W43)-(X43)</f>
        <v>-12733.91</v>
      </c>
      <c r="Z43" s="24">
        <f>(((((Z11)+(Z16))+(Z20))+(Z31))+(Z35))+(Z41)</f>
        <v>0</v>
      </c>
      <c r="AA43" s="6">
        <f>(((((AA11)+(AA16))+(AA20))+(AA31))+(AA35))+(AA41)</f>
        <v>10000</v>
      </c>
      <c r="AB43" s="25">
        <f>(Z43)-(AA43)</f>
        <v>-10000</v>
      </c>
      <c r="AC43" s="24">
        <f>((T43)+(W43))+(Z43)</f>
        <v>27266.09</v>
      </c>
      <c r="AD43" s="6">
        <f>((U43)+(X43))+(AA43)</f>
        <v>50000</v>
      </c>
      <c r="AE43" s="25">
        <f>(AC43)-(AD43)</f>
        <v>-22733.91</v>
      </c>
      <c r="AF43" s="24">
        <f>(((((AF11)+(AF16))+(AF20))+(AF31))+(AF35))+(AF41)</f>
        <v>15000</v>
      </c>
      <c r="AG43" s="6">
        <f>(((((AG11)+(AG16))+(AG20))+(AG31))+(AG35))+(AG41)</f>
        <v>7500</v>
      </c>
      <c r="AH43" s="25">
        <f>(AF43)-(AG43)</f>
        <v>7500</v>
      </c>
      <c r="AI43" s="24">
        <f>(((((AI11)+(AI16))+(AI20))+(AI31))+(AI35))+(AI41)</f>
        <v>0</v>
      </c>
      <c r="AJ43" s="6">
        <f>(((((AJ11)+(AJ16))+(AJ20))+(AJ31))+(AJ35))+(AJ41)</f>
        <v>0</v>
      </c>
      <c r="AK43" s="25">
        <f>(AI43)-(AJ43)</f>
        <v>0</v>
      </c>
      <c r="AL43" s="24">
        <f>(AF43)+(AI43)</f>
        <v>15000</v>
      </c>
      <c r="AM43" s="6">
        <f>(AG43)+(AJ43)</f>
        <v>7500</v>
      </c>
      <c r="AN43" s="25">
        <f>(AL43)-(AM43)</f>
        <v>7500</v>
      </c>
      <c r="AO43" s="24">
        <f>(((((AO11)+(AO16))+(AO20))+(AO31))+(AO35))+(AO41)</f>
        <v>750</v>
      </c>
      <c r="AP43" s="6">
        <f>(((((AP11)+(AP16))+(AP20))+(AP31))+(AP35))+(AP41)</f>
        <v>7000</v>
      </c>
      <c r="AQ43" s="25">
        <f>(AO43)-(AP43)</f>
        <v>-6250</v>
      </c>
      <c r="AR43" s="24">
        <f>(((((AR11)+(AR16))+(AR20))+(AR31))+(AR35))+(AR41)</f>
        <v>0</v>
      </c>
      <c r="AS43" s="6">
        <f>(((((AS11)+(AS16))+(AS20))+(AS31))+(AS35))+(AS41)</f>
        <v>0</v>
      </c>
      <c r="AT43" s="25">
        <f>(AR43)-(AS43)</f>
        <v>0</v>
      </c>
      <c r="AU43" s="24">
        <f>(((((AU11)+(AU16))+(AU20))+(AU31))+(AU35))+(AU41)</f>
        <v>19191.620000000003</v>
      </c>
      <c r="AV43" s="6">
        <f>(((((AV11)+(AV16))+(AV20))+(AV31))+(AV35))+(AV41)</f>
        <v>19428</v>
      </c>
      <c r="AW43" s="25">
        <f>(AU43)-(AV43)</f>
        <v>-236.37999999999738</v>
      </c>
      <c r="AX43" s="24">
        <f>(((((AX11)+(AX16))+(AX20))+(AX31))+(AX35))+(AX41)</f>
        <v>67245</v>
      </c>
      <c r="AY43" s="6">
        <f>(((((AY11)+(AY16))+(AY20))+(AY31))+(AY35))+(AY41)</f>
        <v>67100</v>
      </c>
      <c r="AZ43" s="25">
        <f>(AX43)-(AY43)</f>
        <v>145</v>
      </c>
      <c r="BA43" s="24">
        <f>(((((BA11)+(BA16))+(BA20))+(BA31))+(BA35))+(BA41)</f>
        <v>0</v>
      </c>
      <c r="BB43" s="6">
        <f>(((((BB11)+(BB16))+(BB20))+(BB31))+(BB35))+(BB41)</f>
        <v>0</v>
      </c>
      <c r="BC43" s="25">
        <f>(BA43)-(BB43)</f>
        <v>0</v>
      </c>
      <c r="BD43" s="24">
        <f>(((((BD11)+(BD16))+(BD20))+(BD31))+(BD35))+(BD41)</f>
        <v>233.89</v>
      </c>
      <c r="BE43" s="6">
        <f>(((((BE11)+(BE16))+(BE20))+(BE31))+(BE35))+(BE41)</f>
        <v>0</v>
      </c>
      <c r="BF43" s="25">
        <f>(BD43)-(BE43)</f>
        <v>233.89</v>
      </c>
      <c r="BG43" s="24">
        <f>(((((((((B43)+(Q43))+(AC43))+(AL43))+(AO43))+(AR43))+(AU43))+(AX43))+(BA43))+(BD43)</f>
        <v>175409.1</v>
      </c>
      <c r="BH43" s="6">
        <f>(((((((((C43)+(R43))+(AD43))+(AM43))+(AP43))+(AS43))+(AV43))+(AY43))+(BB43))+(BE43)</f>
        <v>153578</v>
      </c>
      <c r="BI43" s="25">
        <f>(BG43)-(BH43)</f>
        <v>21831.100000000006</v>
      </c>
      <c r="BJ43" s="24">
        <f>(((((BJ11)+(BJ16))+(BJ20))+(BJ31))+(BJ35))+(BJ41)</f>
        <v>484.66999999999996</v>
      </c>
      <c r="BK43" s="6">
        <f>(((((BK11)+(BK16))+(BK20))+(BK31))+(BK35))+(BK41)</f>
        <v>0</v>
      </c>
      <c r="BL43" s="25">
        <f>(BJ43)-(BK43)</f>
        <v>484.66999999999996</v>
      </c>
      <c r="BM43" s="24">
        <f>(((((BM11)+(BM16))+(BM20))+(BM31))+(BM35))+(BM41)</f>
        <v>0</v>
      </c>
      <c r="BN43" s="6">
        <f>(((((BN11)+(BN16))+(BN20))+(BN31))+(BN35))+(BN41)</f>
        <v>0</v>
      </c>
      <c r="BO43" s="25">
        <f>(BM43)-(BN43)</f>
        <v>0</v>
      </c>
      <c r="BP43" s="24">
        <f>(((((BP11)+(BP16))+(BP20))+(BP31))+(BP35))+(BP41)</f>
        <v>28669.89</v>
      </c>
      <c r="BQ43" s="6">
        <f>(((((BQ11)+(BQ16))+(BQ20))+(BQ31))+(BQ35))+(BQ41)</f>
        <v>28301</v>
      </c>
      <c r="BR43" s="25">
        <f>(BP43)-(BQ43)</f>
        <v>368.88999999999942</v>
      </c>
      <c r="BS43" s="24">
        <f>(((((BS11)+(BS16))+(BS20))+(BS31))+(BS35))+(BS41)</f>
        <v>825</v>
      </c>
      <c r="BT43" s="6">
        <f>(((((BT11)+(BT16))+(BT20))+(BT31))+(BT35))+(BT41)</f>
        <v>0</v>
      </c>
      <c r="BU43" s="25">
        <f>(BS43)-(BT43)</f>
        <v>825</v>
      </c>
      <c r="BV43" s="24">
        <f>(((((BV11)+(BV16))+(BV20))+(BV31))+(BV35))+(BV41)</f>
        <v>1130.78</v>
      </c>
      <c r="BW43" s="6">
        <f>(((((BW11)+(BW16))+(BW20))+(BW31))+(BW35))+(BW41)</f>
        <v>1500</v>
      </c>
      <c r="BX43" s="25">
        <f>(BV43)-(BW43)</f>
        <v>-369.22</v>
      </c>
      <c r="BY43" s="24">
        <f>(((((BY11)+(BY16))+(BY20))+(BY31))+(BY35))+(BY41)</f>
        <v>911</v>
      </c>
      <c r="BZ43" s="6">
        <f>(((((BZ11)+(BZ16))+(BZ20))+(BZ31))+(BZ35))+(BZ41)</f>
        <v>780</v>
      </c>
      <c r="CA43" s="25">
        <f>(BY43)-(BZ43)</f>
        <v>131</v>
      </c>
      <c r="CB43" s="24">
        <f>((((BM43)+(BP43))+(BS43))+(BV43))+(BY43)</f>
        <v>31536.67</v>
      </c>
      <c r="CC43" s="6">
        <f>((((BN43)+(BQ43))+(BT43))+(BW43))+(BZ43)</f>
        <v>30581</v>
      </c>
      <c r="CD43" s="25">
        <f>(CB43)-(CC43)</f>
        <v>955.66999999999825</v>
      </c>
      <c r="CE43" s="24">
        <f>((BG43)+(BJ43))+(CB43)</f>
        <v>207430.44</v>
      </c>
      <c r="CF43" s="6">
        <f>((BH43)+(BK43))+(CC43)</f>
        <v>184159</v>
      </c>
      <c r="CG43" s="25">
        <f>(CE43)-(CF43)</f>
        <v>23271.440000000002</v>
      </c>
    </row>
    <row r="44" spans="1:85" ht="15" hidden="1" customHeight="1" x14ac:dyDescent="0.2">
      <c r="A44" s="3" t="s">
        <v>77</v>
      </c>
      <c r="B44" s="24">
        <f>(B43)-(0)</f>
        <v>0</v>
      </c>
      <c r="C44" s="6">
        <f>(C43)-(0)</f>
        <v>1500</v>
      </c>
      <c r="D44" s="25">
        <f>(B44)-(C44)</f>
        <v>-1500</v>
      </c>
      <c r="E44" s="24">
        <f>(E43)-(0)</f>
        <v>2110</v>
      </c>
      <c r="F44" s="6">
        <f>(F43)-(0)</f>
        <v>1050</v>
      </c>
      <c r="G44" s="25">
        <f>(E44)-(F44)</f>
        <v>1060</v>
      </c>
      <c r="H44" s="24">
        <f>(H43)-(0)</f>
        <v>3112.5</v>
      </c>
      <c r="I44" s="6">
        <f>(I43)-(0)</f>
        <v>0</v>
      </c>
      <c r="J44" s="25">
        <f>(H44)-(I44)</f>
        <v>3112.5</v>
      </c>
      <c r="K44" s="24">
        <f>(K43)-(0)</f>
        <v>0</v>
      </c>
      <c r="L44" s="6">
        <f>(L43)-(0)</f>
        <v>0</v>
      </c>
      <c r="M44" s="25">
        <f>(K44)-(L44)</f>
        <v>0</v>
      </c>
      <c r="N44" s="24">
        <f>(N43)-(0)</f>
        <v>40500</v>
      </c>
      <c r="O44" s="6">
        <f>(O43)-(0)</f>
        <v>0</v>
      </c>
      <c r="P44" s="25">
        <f>(N44)-(O44)</f>
        <v>40500</v>
      </c>
      <c r="Q44" s="24">
        <f>(((E44)+(H44))+(K44))+(N44)</f>
        <v>45722.5</v>
      </c>
      <c r="R44" s="6">
        <f>(((F44)+(I44))+(L44))+(O44)</f>
        <v>1050</v>
      </c>
      <c r="S44" s="25">
        <f>(Q44)-(R44)</f>
        <v>44672.5</v>
      </c>
      <c r="T44" s="24">
        <f>(T43)-(0)</f>
        <v>0</v>
      </c>
      <c r="U44" s="6">
        <f>(U43)-(0)</f>
        <v>0</v>
      </c>
      <c r="V44" s="25">
        <f>(T44)-(U44)</f>
        <v>0</v>
      </c>
      <c r="W44" s="24">
        <f>(W43)-(0)</f>
        <v>27266.09</v>
      </c>
      <c r="X44" s="6">
        <f>(X43)-(0)</f>
        <v>40000</v>
      </c>
      <c r="Y44" s="25">
        <f>(W44)-(X44)</f>
        <v>-12733.91</v>
      </c>
      <c r="Z44" s="24">
        <f>(Z43)-(0)</f>
        <v>0</v>
      </c>
      <c r="AA44" s="6">
        <f>(AA43)-(0)</f>
        <v>10000</v>
      </c>
      <c r="AB44" s="25">
        <f>(Z44)-(AA44)</f>
        <v>-10000</v>
      </c>
      <c r="AC44" s="24">
        <f>((T44)+(W44))+(Z44)</f>
        <v>27266.09</v>
      </c>
      <c r="AD44" s="6">
        <f>((U44)+(X44))+(AA44)</f>
        <v>50000</v>
      </c>
      <c r="AE44" s="25">
        <f>(AC44)-(AD44)</f>
        <v>-22733.91</v>
      </c>
      <c r="AF44" s="24">
        <f>(AF43)-(0)</f>
        <v>15000</v>
      </c>
      <c r="AG44" s="6">
        <f>(AG43)-(0)</f>
        <v>7500</v>
      </c>
      <c r="AH44" s="25">
        <f>(AF44)-(AG44)</f>
        <v>7500</v>
      </c>
      <c r="AI44" s="24">
        <f>(AI43)-(0)</f>
        <v>0</v>
      </c>
      <c r="AJ44" s="6">
        <f>(AJ43)-(0)</f>
        <v>0</v>
      </c>
      <c r="AK44" s="25">
        <f>(AI44)-(AJ44)</f>
        <v>0</v>
      </c>
      <c r="AL44" s="24">
        <f>(AF44)+(AI44)</f>
        <v>15000</v>
      </c>
      <c r="AM44" s="6">
        <f>(AG44)+(AJ44)</f>
        <v>7500</v>
      </c>
      <c r="AN44" s="25">
        <f>(AL44)-(AM44)</f>
        <v>7500</v>
      </c>
      <c r="AO44" s="24">
        <f>(AO43)-(0)</f>
        <v>750</v>
      </c>
      <c r="AP44" s="6">
        <f>(AP43)-(0)</f>
        <v>7000</v>
      </c>
      <c r="AQ44" s="25">
        <f>(AO44)-(AP44)</f>
        <v>-6250</v>
      </c>
      <c r="AR44" s="24">
        <f>(AR43)-(0)</f>
        <v>0</v>
      </c>
      <c r="AS44" s="6">
        <f>(AS43)-(0)</f>
        <v>0</v>
      </c>
      <c r="AT44" s="25">
        <f>(AR44)-(AS44)</f>
        <v>0</v>
      </c>
      <c r="AU44" s="24">
        <f>(AU43)-(0)</f>
        <v>19191.620000000003</v>
      </c>
      <c r="AV44" s="6">
        <f>(AV43)-(0)</f>
        <v>19428</v>
      </c>
      <c r="AW44" s="25">
        <f>(AU44)-(AV44)</f>
        <v>-236.37999999999738</v>
      </c>
      <c r="AX44" s="24">
        <f>(AX43)-(0)</f>
        <v>67245</v>
      </c>
      <c r="AY44" s="6">
        <f>(AY43)-(0)</f>
        <v>67100</v>
      </c>
      <c r="AZ44" s="25">
        <f>(AX44)-(AY44)</f>
        <v>145</v>
      </c>
      <c r="BA44" s="24">
        <f>(BA43)-(0)</f>
        <v>0</v>
      </c>
      <c r="BB44" s="6">
        <f>(BB43)-(0)</f>
        <v>0</v>
      </c>
      <c r="BC44" s="25">
        <f>(BA44)-(BB44)</f>
        <v>0</v>
      </c>
      <c r="BD44" s="24">
        <f>(BD43)-(0)</f>
        <v>233.89</v>
      </c>
      <c r="BE44" s="6">
        <f>(BE43)-(0)</f>
        <v>0</v>
      </c>
      <c r="BF44" s="25">
        <f>(BD44)-(BE44)</f>
        <v>233.89</v>
      </c>
      <c r="BG44" s="24">
        <f>(((((((((B44)+(Q44))+(AC44))+(AL44))+(AO44))+(AR44))+(AU44))+(AX44))+(BA44))+(BD44)</f>
        <v>175409.1</v>
      </c>
      <c r="BH44" s="6">
        <f>(((((((((C44)+(R44))+(AD44))+(AM44))+(AP44))+(AS44))+(AV44))+(AY44))+(BB44))+(BE44)</f>
        <v>153578</v>
      </c>
      <c r="BI44" s="25">
        <f>(BG44)-(BH44)</f>
        <v>21831.100000000006</v>
      </c>
      <c r="BJ44" s="24">
        <f>(BJ43)-(0)</f>
        <v>484.66999999999996</v>
      </c>
      <c r="BK44" s="6">
        <f>(BK43)-(0)</f>
        <v>0</v>
      </c>
      <c r="BL44" s="25">
        <f>(BJ44)-(BK44)</f>
        <v>484.66999999999996</v>
      </c>
      <c r="BM44" s="24">
        <f>(BM43)-(0)</f>
        <v>0</v>
      </c>
      <c r="BN44" s="6">
        <f>(BN43)-(0)</f>
        <v>0</v>
      </c>
      <c r="BO44" s="25">
        <f>(BM44)-(BN44)</f>
        <v>0</v>
      </c>
      <c r="BP44" s="24">
        <f>(BP43)-(0)</f>
        <v>28669.89</v>
      </c>
      <c r="BQ44" s="6">
        <f>(BQ43)-(0)</f>
        <v>28301</v>
      </c>
      <c r="BR44" s="25">
        <f>(BP44)-(BQ44)</f>
        <v>368.88999999999942</v>
      </c>
      <c r="BS44" s="24">
        <f>(BS43)-(0)</f>
        <v>825</v>
      </c>
      <c r="BT44" s="6">
        <f>(BT43)-(0)</f>
        <v>0</v>
      </c>
      <c r="BU44" s="25">
        <f>(BS44)-(BT44)</f>
        <v>825</v>
      </c>
      <c r="BV44" s="24">
        <f>(BV43)-(0)</f>
        <v>1130.78</v>
      </c>
      <c r="BW44" s="6">
        <f>(BW43)-(0)</f>
        <v>1500</v>
      </c>
      <c r="BX44" s="25">
        <f>(BV44)-(BW44)</f>
        <v>-369.22</v>
      </c>
      <c r="BY44" s="24">
        <f>(BY43)-(0)</f>
        <v>911</v>
      </c>
      <c r="BZ44" s="6">
        <f>(BZ43)-(0)</f>
        <v>780</v>
      </c>
      <c r="CA44" s="25">
        <f>(BY44)-(BZ44)</f>
        <v>131</v>
      </c>
      <c r="CB44" s="24">
        <f>((((BM44)+(BP44))+(BS44))+(BV44))+(BY44)</f>
        <v>31536.67</v>
      </c>
      <c r="CC44" s="6">
        <f>((((BN44)+(BQ44))+(BT44))+(BW44))+(BZ44)</f>
        <v>30581</v>
      </c>
      <c r="CD44" s="25">
        <f>(CB44)-(CC44)</f>
        <v>955.66999999999825</v>
      </c>
      <c r="CE44" s="24">
        <f>((BG44)+(BJ44))+(CB44)</f>
        <v>207430.44</v>
      </c>
      <c r="CF44" s="6">
        <f>((BH44)+(BK44))+(CC44)</f>
        <v>184159</v>
      </c>
      <c r="CG44" s="25">
        <f>(CE44)-(CF44)</f>
        <v>23271.440000000002</v>
      </c>
    </row>
    <row r="45" spans="1:85" x14ac:dyDescent="0.2">
      <c r="A45" s="3"/>
      <c r="B45" s="26"/>
      <c r="C45" s="9"/>
      <c r="D45" s="27"/>
      <c r="E45" s="26"/>
      <c r="F45" s="9"/>
      <c r="G45" s="27"/>
      <c r="H45" s="26"/>
      <c r="I45" s="9"/>
      <c r="J45" s="27"/>
      <c r="K45" s="26"/>
      <c r="L45" s="9"/>
      <c r="M45" s="27"/>
      <c r="N45" s="26"/>
      <c r="O45" s="9"/>
      <c r="P45" s="27"/>
      <c r="Q45" s="26"/>
      <c r="R45" s="9"/>
      <c r="S45" s="27"/>
      <c r="T45" s="26"/>
      <c r="U45" s="9"/>
      <c r="V45" s="27"/>
      <c r="W45" s="26"/>
      <c r="X45" s="9"/>
      <c r="Y45" s="27"/>
      <c r="Z45" s="26"/>
      <c r="AA45" s="9"/>
      <c r="AB45" s="27"/>
      <c r="AC45" s="26"/>
      <c r="AD45" s="9"/>
      <c r="AE45" s="27"/>
      <c r="AF45" s="26"/>
      <c r="AG45" s="9"/>
      <c r="AH45" s="27"/>
      <c r="AI45" s="26"/>
      <c r="AJ45" s="9"/>
      <c r="AK45" s="27"/>
      <c r="AL45" s="26"/>
      <c r="AM45" s="9"/>
      <c r="AN45" s="27"/>
      <c r="AO45" s="26"/>
      <c r="AP45" s="9"/>
      <c r="AQ45" s="27"/>
      <c r="AR45" s="26"/>
      <c r="AS45" s="9"/>
      <c r="AT45" s="27"/>
      <c r="AU45" s="26"/>
      <c r="AV45" s="9"/>
      <c r="AW45" s="27"/>
      <c r="AX45" s="26"/>
      <c r="AY45" s="9"/>
      <c r="AZ45" s="27"/>
      <c r="BA45" s="26"/>
      <c r="BB45" s="9"/>
      <c r="BC45" s="27"/>
      <c r="BD45" s="26"/>
      <c r="BE45" s="9"/>
      <c r="BF45" s="27"/>
      <c r="BG45" s="26"/>
      <c r="BH45" s="9"/>
      <c r="BI45" s="27"/>
      <c r="BJ45" s="26"/>
      <c r="BK45" s="9"/>
      <c r="BL45" s="27"/>
      <c r="BM45" s="26"/>
      <c r="BN45" s="9"/>
      <c r="BO45" s="27"/>
      <c r="BP45" s="26"/>
      <c r="BQ45" s="9"/>
      <c r="BR45" s="27"/>
      <c r="BS45" s="26"/>
      <c r="BT45" s="9"/>
      <c r="BU45" s="27"/>
      <c r="BV45" s="26"/>
      <c r="BW45" s="9"/>
      <c r="BX45" s="27"/>
      <c r="BY45" s="26"/>
      <c r="BZ45" s="9"/>
      <c r="CA45" s="27"/>
      <c r="CB45" s="26"/>
      <c r="CC45" s="9"/>
      <c r="CD45" s="27"/>
      <c r="CE45" s="26"/>
      <c r="CF45" s="9"/>
      <c r="CG45" s="27"/>
    </row>
    <row r="46" spans="1:85" x14ac:dyDescent="0.2">
      <c r="A46" s="3" t="s">
        <v>76</v>
      </c>
      <c r="B46" s="19"/>
      <c r="C46" s="16"/>
      <c r="D46" s="20"/>
      <c r="E46" s="19"/>
      <c r="F46" s="16"/>
      <c r="G46" s="20"/>
      <c r="H46" s="19"/>
      <c r="I46" s="16"/>
      <c r="J46" s="20"/>
      <c r="K46" s="19"/>
      <c r="L46" s="16"/>
      <c r="M46" s="20"/>
      <c r="N46" s="19"/>
      <c r="O46" s="16"/>
      <c r="P46" s="20"/>
      <c r="Q46" s="19"/>
      <c r="R46" s="16"/>
      <c r="S46" s="20"/>
      <c r="T46" s="19"/>
      <c r="U46" s="16"/>
      <c r="V46" s="20"/>
      <c r="W46" s="19"/>
      <c r="X46" s="16"/>
      <c r="Y46" s="20"/>
      <c r="Z46" s="19"/>
      <c r="AA46" s="16"/>
      <c r="AB46" s="20"/>
      <c r="AC46" s="19"/>
      <c r="AD46" s="16"/>
      <c r="AE46" s="20"/>
      <c r="AF46" s="19"/>
      <c r="AG46" s="16"/>
      <c r="AH46" s="20"/>
      <c r="AI46" s="19"/>
      <c r="AJ46" s="16"/>
      <c r="AK46" s="20"/>
      <c r="AL46" s="19"/>
      <c r="AM46" s="16"/>
      <c r="AN46" s="20"/>
      <c r="AO46" s="19"/>
      <c r="AP46" s="16"/>
      <c r="AQ46" s="20"/>
      <c r="AR46" s="19"/>
      <c r="AS46" s="16"/>
      <c r="AT46" s="20"/>
      <c r="AU46" s="19"/>
      <c r="AV46" s="16"/>
      <c r="AW46" s="20"/>
      <c r="AX46" s="19"/>
      <c r="AY46" s="16"/>
      <c r="AZ46" s="20"/>
      <c r="BA46" s="19"/>
      <c r="BB46" s="16"/>
      <c r="BC46" s="20"/>
      <c r="BD46" s="19"/>
      <c r="BE46" s="16"/>
      <c r="BF46" s="20"/>
      <c r="BG46" s="19"/>
      <c r="BH46" s="16"/>
      <c r="BI46" s="20"/>
      <c r="BJ46" s="19"/>
      <c r="BK46" s="16"/>
      <c r="BL46" s="20"/>
      <c r="BM46" s="19"/>
      <c r="BN46" s="16"/>
      <c r="BO46" s="20"/>
      <c r="BP46" s="19"/>
      <c r="BQ46" s="16"/>
      <c r="BR46" s="20"/>
      <c r="BS46" s="19"/>
      <c r="BT46" s="16"/>
      <c r="BU46" s="20"/>
      <c r="BV46" s="19"/>
      <c r="BW46" s="16"/>
      <c r="BX46" s="20"/>
      <c r="BY46" s="19"/>
      <c r="BZ46" s="16"/>
      <c r="CA46" s="20"/>
      <c r="CB46" s="19"/>
      <c r="CC46" s="16"/>
      <c r="CD46" s="20"/>
      <c r="CE46" s="19"/>
      <c r="CF46" s="16"/>
      <c r="CG46" s="20"/>
    </row>
    <row r="47" spans="1:85" x14ac:dyDescent="0.2">
      <c r="A47" s="3" t="s">
        <v>75</v>
      </c>
      <c r="B47" s="19"/>
      <c r="C47" s="16"/>
      <c r="D47" s="23"/>
      <c r="E47" s="21"/>
      <c r="F47" s="22"/>
      <c r="G47" s="23"/>
      <c r="H47" s="19"/>
      <c r="I47" s="16"/>
      <c r="J47" s="23"/>
      <c r="K47" s="19"/>
      <c r="L47" s="16"/>
      <c r="M47" s="23"/>
      <c r="N47" s="21"/>
      <c r="O47" s="22"/>
      <c r="P47" s="23"/>
      <c r="Q47" s="19"/>
      <c r="R47" s="16"/>
      <c r="S47" s="23"/>
      <c r="T47" s="19"/>
      <c r="U47" s="16"/>
      <c r="V47" s="23"/>
      <c r="W47" s="21"/>
      <c r="X47" s="22"/>
      <c r="Y47" s="23"/>
      <c r="Z47" s="19"/>
      <c r="AA47" s="16"/>
      <c r="AB47" s="23"/>
      <c r="AC47" s="21"/>
      <c r="AD47" s="22"/>
      <c r="AE47" s="23"/>
      <c r="AF47" s="19"/>
      <c r="AG47" s="16"/>
      <c r="AH47" s="23"/>
      <c r="AI47" s="21"/>
      <c r="AJ47" s="22"/>
      <c r="AK47" s="23"/>
      <c r="AL47" s="19"/>
      <c r="AM47" s="16"/>
      <c r="AN47" s="23"/>
      <c r="AO47" s="21"/>
      <c r="AP47" s="22"/>
      <c r="AQ47" s="23"/>
      <c r="AR47" s="19"/>
      <c r="AS47" s="16"/>
      <c r="AT47" s="23"/>
      <c r="AU47" s="21"/>
      <c r="AV47" s="22"/>
      <c r="AW47" s="23"/>
      <c r="AX47" s="19"/>
      <c r="AY47" s="16"/>
      <c r="AZ47" s="23"/>
      <c r="BA47" s="21"/>
      <c r="BB47" s="22"/>
      <c r="BC47" s="23"/>
      <c r="BD47" s="19"/>
      <c r="BE47" s="16"/>
      <c r="BF47" s="23"/>
      <c r="BG47" s="21"/>
      <c r="BH47" s="22"/>
      <c r="BI47" s="23"/>
      <c r="BJ47" s="19"/>
      <c r="BK47" s="16"/>
      <c r="BL47" s="23"/>
      <c r="BM47" s="19"/>
      <c r="BN47" s="16"/>
      <c r="BO47" s="23"/>
      <c r="BP47" s="19"/>
      <c r="BQ47" s="16"/>
      <c r="BR47" s="23"/>
      <c r="BS47" s="19"/>
      <c r="BT47" s="16"/>
      <c r="BU47" s="23"/>
      <c r="BV47" s="19"/>
      <c r="BW47" s="16"/>
      <c r="BX47" s="23"/>
      <c r="BY47" s="19"/>
      <c r="BZ47" s="16"/>
      <c r="CA47" s="23"/>
      <c r="CB47" s="21"/>
      <c r="CC47" s="22"/>
      <c r="CD47" s="23"/>
      <c r="CE47" s="21"/>
      <c r="CF47" s="22"/>
      <c r="CG47" s="23"/>
    </row>
    <row r="48" spans="1:85" x14ac:dyDescent="0.2">
      <c r="A48" s="3" t="s">
        <v>136</v>
      </c>
      <c r="B48" s="19"/>
      <c r="C48" s="16"/>
      <c r="D48" s="23"/>
      <c r="E48" s="21"/>
      <c r="F48" s="22"/>
      <c r="G48" s="23"/>
      <c r="H48" s="19"/>
      <c r="I48" s="16"/>
      <c r="J48" s="23"/>
      <c r="K48" s="19"/>
      <c r="L48" s="16"/>
      <c r="M48" s="23"/>
      <c r="N48" s="21"/>
      <c r="O48" s="22"/>
      <c r="P48" s="23"/>
      <c r="Q48" s="19"/>
      <c r="R48" s="16"/>
      <c r="S48" s="23"/>
      <c r="T48" s="19"/>
      <c r="U48" s="16"/>
      <c r="V48" s="23"/>
      <c r="W48" s="21"/>
      <c r="X48" s="22"/>
      <c r="Y48" s="23"/>
      <c r="Z48" s="19"/>
      <c r="AA48" s="16"/>
      <c r="AB48" s="23"/>
      <c r="AC48" s="21"/>
      <c r="AD48" s="22"/>
      <c r="AE48" s="23"/>
      <c r="AF48" s="19"/>
      <c r="AG48" s="16"/>
      <c r="AH48" s="23"/>
      <c r="AI48" s="21"/>
      <c r="AJ48" s="22"/>
      <c r="AK48" s="23"/>
      <c r="AL48" s="19"/>
      <c r="AM48" s="16"/>
      <c r="AN48" s="23"/>
      <c r="AO48" s="21"/>
      <c r="AP48" s="22"/>
      <c r="AQ48" s="23"/>
      <c r="AR48" s="19"/>
      <c r="AS48" s="16"/>
      <c r="AT48" s="23"/>
      <c r="AU48" s="21"/>
      <c r="AV48" s="22"/>
      <c r="AW48" s="23"/>
      <c r="AX48" s="19"/>
      <c r="AY48" s="16"/>
      <c r="AZ48" s="23"/>
      <c r="BA48" s="21"/>
      <c r="BB48" s="22"/>
      <c r="BC48" s="23"/>
      <c r="BD48" s="19"/>
      <c r="BE48" s="16"/>
      <c r="BF48" s="23"/>
      <c r="BG48" s="21"/>
      <c r="BH48" s="22"/>
      <c r="BI48" s="23"/>
      <c r="BJ48" s="19"/>
      <c r="BK48" s="16"/>
      <c r="BL48" s="23"/>
      <c r="BM48" s="19"/>
      <c r="BN48" s="16"/>
      <c r="BO48" s="23"/>
      <c r="BP48" s="19"/>
      <c r="BQ48" s="16"/>
      <c r="BR48" s="23"/>
      <c r="BS48" s="19"/>
      <c r="BT48" s="16"/>
      <c r="BU48" s="23"/>
      <c r="BV48" s="19"/>
      <c r="BW48" s="22">
        <f>3000</f>
        <v>3000</v>
      </c>
      <c r="BX48" s="23">
        <f>(BV48)-(BW48)</f>
        <v>-3000</v>
      </c>
      <c r="BY48" s="19"/>
      <c r="BZ48" s="16"/>
      <c r="CA48" s="23"/>
      <c r="CB48" s="21"/>
      <c r="CC48" s="22">
        <f>((((BN48)+(BQ48))+(BT48))+(BW48))+(BZ48)</f>
        <v>3000</v>
      </c>
      <c r="CD48" s="23">
        <f>(CB48)-(CC48)</f>
        <v>-3000</v>
      </c>
      <c r="CE48" s="21"/>
      <c r="CF48" s="22">
        <f t="shared" ref="CF48:CF56" si="3">((BH48)+(BK48))+(CC48)</f>
        <v>3000</v>
      </c>
      <c r="CG48" s="23">
        <f t="shared" ref="CG48:CG56" si="4">(CE48)-(CF48)</f>
        <v>-3000</v>
      </c>
    </row>
    <row r="49" spans="1:85" x14ac:dyDescent="0.2">
      <c r="A49" s="3" t="s">
        <v>74</v>
      </c>
      <c r="B49" s="19"/>
      <c r="C49" s="16"/>
      <c r="D49" s="23"/>
      <c r="E49" s="21"/>
      <c r="F49" s="22"/>
      <c r="G49" s="23"/>
      <c r="H49" s="19"/>
      <c r="I49" s="16"/>
      <c r="J49" s="23"/>
      <c r="K49" s="19"/>
      <c r="L49" s="16"/>
      <c r="M49" s="23"/>
      <c r="N49" s="21"/>
      <c r="O49" s="22"/>
      <c r="P49" s="23"/>
      <c r="Q49" s="19"/>
      <c r="R49" s="16"/>
      <c r="S49" s="23"/>
      <c r="T49" s="19"/>
      <c r="U49" s="16"/>
      <c r="V49" s="23"/>
      <c r="W49" s="21"/>
      <c r="X49" s="22"/>
      <c r="Y49" s="23"/>
      <c r="Z49" s="19"/>
      <c r="AA49" s="16"/>
      <c r="AB49" s="23"/>
      <c r="AC49" s="21"/>
      <c r="AD49" s="22"/>
      <c r="AE49" s="23"/>
      <c r="AF49" s="19"/>
      <c r="AG49" s="16"/>
      <c r="AH49" s="23"/>
      <c r="AI49" s="21"/>
      <c r="AJ49" s="22"/>
      <c r="AK49" s="23"/>
      <c r="AL49" s="19"/>
      <c r="AM49" s="16"/>
      <c r="AN49" s="23"/>
      <c r="AO49" s="21"/>
      <c r="AP49" s="22"/>
      <c r="AQ49" s="23"/>
      <c r="AR49" s="19"/>
      <c r="AS49" s="16"/>
      <c r="AT49" s="23"/>
      <c r="AU49" s="21"/>
      <c r="AV49" s="22"/>
      <c r="AW49" s="23"/>
      <c r="AX49" s="19"/>
      <c r="AY49" s="16"/>
      <c r="AZ49" s="23"/>
      <c r="BA49" s="21"/>
      <c r="BB49" s="22"/>
      <c r="BC49" s="23"/>
      <c r="BD49" s="19"/>
      <c r="BE49" s="16"/>
      <c r="BF49" s="23"/>
      <c r="BG49" s="21"/>
      <c r="BH49" s="22"/>
      <c r="BI49" s="23"/>
      <c r="BJ49" s="21">
        <f>6000.01</f>
        <v>6000.01</v>
      </c>
      <c r="BK49" s="22">
        <f>5000</f>
        <v>5000</v>
      </c>
      <c r="BL49" s="23">
        <f>(BJ49)-(BK49)</f>
        <v>1000.0100000000002</v>
      </c>
      <c r="BM49" s="19"/>
      <c r="BN49" s="16"/>
      <c r="BO49" s="23"/>
      <c r="BP49" s="19"/>
      <c r="BQ49" s="16"/>
      <c r="BR49" s="23"/>
      <c r="BS49" s="19"/>
      <c r="BT49" s="16"/>
      <c r="BU49" s="23"/>
      <c r="BV49" s="19"/>
      <c r="BW49" s="16"/>
      <c r="BX49" s="23"/>
      <c r="BY49" s="19"/>
      <c r="BZ49" s="16"/>
      <c r="CA49" s="23"/>
      <c r="CB49" s="21"/>
      <c r="CC49" s="22"/>
      <c r="CD49" s="23"/>
      <c r="CE49" s="21">
        <f t="shared" ref="CE49:CE56" si="5">((BG49)+(BJ49))+(CB49)</f>
        <v>6000.01</v>
      </c>
      <c r="CF49" s="22">
        <f t="shared" si="3"/>
        <v>5000</v>
      </c>
      <c r="CG49" s="23">
        <f t="shared" si="4"/>
        <v>1000.0100000000002</v>
      </c>
    </row>
    <row r="50" spans="1:85" x14ac:dyDescent="0.2">
      <c r="A50" s="3" t="s">
        <v>73</v>
      </c>
      <c r="B50" s="21"/>
      <c r="C50" s="16"/>
      <c r="D50" s="23"/>
      <c r="E50" s="21">
        <f>895.5</f>
        <v>895.5</v>
      </c>
      <c r="F50" s="22"/>
      <c r="G50" s="23">
        <f>(E50)-(F50)</f>
        <v>895.5</v>
      </c>
      <c r="H50" s="21">
        <f>565</f>
        <v>565</v>
      </c>
      <c r="I50" s="16"/>
      <c r="J50" s="23">
        <f>(H50)-(I50)</f>
        <v>565</v>
      </c>
      <c r="K50" s="21"/>
      <c r="L50" s="16"/>
      <c r="M50" s="23"/>
      <c r="N50" s="21"/>
      <c r="O50" s="22"/>
      <c r="P50" s="23"/>
      <c r="Q50" s="21">
        <f>(((E50)+(H50))+(K50))+(N50)</f>
        <v>1460.5</v>
      </c>
      <c r="R50" s="16"/>
      <c r="S50" s="23">
        <f>(Q50)-(R50)</f>
        <v>1460.5</v>
      </c>
      <c r="T50" s="21">
        <f>20</f>
        <v>20</v>
      </c>
      <c r="U50" s="16"/>
      <c r="V50" s="23">
        <f>(T50)-(U50)</f>
        <v>20</v>
      </c>
      <c r="W50" s="21">
        <f>15</f>
        <v>15</v>
      </c>
      <c r="X50" s="22"/>
      <c r="Y50" s="23">
        <f>(W50)-(X50)</f>
        <v>15</v>
      </c>
      <c r="Z50" s="21"/>
      <c r="AA50" s="16"/>
      <c r="AB50" s="23"/>
      <c r="AC50" s="21">
        <f>((T50)+(W50))+(Z50)</f>
        <v>35</v>
      </c>
      <c r="AD50" s="22"/>
      <c r="AE50" s="23">
        <f>(AC50)-(AD50)</f>
        <v>35</v>
      </c>
      <c r="AF50" s="21">
        <f>3563</f>
        <v>3563</v>
      </c>
      <c r="AG50" s="16">
        <f>6000</f>
        <v>6000</v>
      </c>
      <c r="AH50" s="23">
        <f>(AF50)-(AG50)</f>
        <v>-2437</v>
      </c>
      <c r="AI50" s="21"/>
      <c r="AJ50" s="22"/>
      <c r="AK50" s="23"/>
      <c r="AL50" s="21">
        <f>(AF50)+(AI50)</f>
        <v>3563</v>
      </c>
      <c r="AM50" s="16">
        <f>(AG50)+(AJ50)</f>
        <v>6000</v>
      </c>
      <c r="AN50" s="23">
        <f>(AL50)-(AM50)</f>
        <v>-2437</v>
      </c>
      <c r="AO50" s="21">
        <f>50</f>
        <v>50</v>
      </c>
      <c r="AP50" s="22"/>
      <c r="AQ50" s="23">
        <f>(AO50)-(AP50)</f>
        <v>50</v>
      </c>
      <c r="AR50" s="21"/>
      <c r="AS50" s="16"/>
      <c r="AT50" s="23"/>
      <c r="AU50" s="21">
        <f>200</f>
        <v>200</v>
      </c>
      <c r="AV50" s="22"/>
      <c r="AW50" s="23">
        <f>(AU50)-(AV50)</f>
        <v>200</v>
      </c>
      <c r="AX50" s="21">
        <f>55975.5</f>
        <v>55975.5</v>
      </c>
      <c r="AY50" s="16">
        <f>54540</f>
        <v>54540</v>
      </c>
      <c r="AZ50" s="23">
        <f>(AX50)-(AY50)</f>
        <v>1435.5</v>
      </c>
      <c r="BA50" s="21"/>
      <c r="BB50" s="22"/>
      <c r="BC50" s="23"/>
      <c r="BD50" s="21">
        <f>1680</f>
        <v>1680</v>
      </c>
      <c r="BE50" s="16"/>
      <c r="BF50" s="23">
        <f>(BD50)-(BE50)</f>
        <v>1680</v>
      </c>
      <c r="BG50" s="21">
        <f t="shared" ref="BG50:BH52" si="6">(((((((((B50)+(Q50))+(AC50))+(AL50))+(AO50))+(AR50))+(AU50))+(AX50))+(BA50))+(BD50)</f>
        <v>62964</v>
      </c>
      <c r="BH50" s="22">
        <f t="shared" si="6"/>
        <v>60540</v>
      </c>
      <c r="BI50" s="23">
        <f t="shared" ref="BI50:BI56" si="7">(BG50)-(BH50)</f>
        <v>2424</v>
      </c>
      <c r="BJ50" s="21">
        <f>13266.3</f>
        <v>13266.3</v>
      </c>
      <c r="BK50" s="22">
        <f>8294</f>
        <v>8294</v>
      </c>
      <c r="BL50" s="23">
        <f>(BJ50)-(BK50)</f>
        <v>4972.2999999999993</v>
      </c>
      <c r="BM50" s="21">
        <f>450</f>
        <v>450</v>
      </c>
      <c r="BN50" s="16"/>
      <c r="BO50" s="23">
        <f>(BM50)-(BN50)</f>
        <v>450</v>
      </c>
      <c r="BP50" s="21">
        <f>505</f>
        <v>505</v>
      </c>
      <c r="BQ50" s="16"/>
      <c r="BR50" s="23">
        <f>(BP50)-(BQ50)</f>
        <v>505</v>
      </c>
      <c r="BS50" s="19"/>
      <c r="BT50" s="16"/>
      <c r="BU50" s="23"/>
      <c r="BV50" s="21">
        <f>380</f>
        <v>380</v>
      </c>
      <c r="BW50" s="16"/>
      <c r="BX50" s="23">
        <f>(BV50)-(BW50)</f>
        <v>380</v>
      </c>
      <c r="BY50" s="19"/>
      <c r="BZ50" s="16"/>
      <c r="CA50" s="23"/>
      <c r="CB50" s="21">
        <f>((((BM50)+(BP50))+(BS50))+(BV50))+(BY50)</f>
        <v>1335</v>
      </c>
      <c r="CC50" s="22"/>
      <c r="CD50" s="23">
        <f>(CB50)-(CC50)</f>
        <v>1335</v>
      </c>
      <c r="CE50" s="21">
        <f t="shared" si="5"/>
        <v>77565.3</v>
      </c>
      <c r="CF50" s="22">
        <f t="shared" si="3"/>
        <v>68834</v>
      </c>
      <c r="CG50" s="23">
        <f t="shared" si="4"/>
        <v>8731.3000000000029</v>
      </c>
    </row>
    <row r="51" spans="1:85" x14ac:dyDescent="0.2">
      <c r="A51" s="3" t="s">
        <v>72</v>
      </c>
      <c r="B51" s="21"/>
      <c r="C51" s="16"/>
      <c r="D51" s="23"/>
      <c r="E51" s="21">
        <f>1080</f>
        <v>1080</v>
      </c>
      <c r="F51" s="22">
        <f>1000</f>
        <v>1000</v>
      </c>
      <c r="G51" s="23">
        <f>(E51)-(F51)</f>
        <v>80</v>
      </c>
      <c r="H51" s="21">
        <f>55</f>
        <v>55</v>
      </c>
      <c r="I51" s="16"/>
      <c r="J51" s="23">
        <f>(H51)-(I51)</f>
        <v>55</v>
      </c>
      <c r="K51" s="21">
        <f>70</f>
        <v>70</v>
      </c>
      <c r="L51" s="16"/>
      <c r="M51" s="23">
        <f>(K51)-(L51)</f>
        <v>70</v>
      </c>
      <c r="N51" s="21"/>
      <c r="O51" s="22"/>
      <c r="P51" s="23"/>
      <c r="Q51" s="21">
        <f>(((E51)+(H51))+(K51))+(N51)</f>
        <v>1205</v>
      </c>
      <c r="R51" s="16">
        <f>(((F51)+(I51))+(L51))+(O51)</f>
        <v>1000</v>
      </c>
      <c r="S51" s="23">
        <f>(Q51)-(R51)</f>
        <v>205</v>
      </c>
      <c r="T51" s="21"/>
      <c r="U51" s="16"/>
      <c r="V51" s="23"/>
      <c r="W51" s="21"/>
      <c r="X51" s="22"/>
      <c r="Y51" s="23"/>
      <c r="Z51" s="21"/>
      <c r="AA51" s="16"/>
      <c r="AB51" s="23"/>
      <c r="AC51" s="21"/>
      <c r="AD51" s="22"/>
      <c r="AE51" s="23"/>
      <c r="AF51" s="21">
        <f>260</f>
        <v>260</v>
      </c>
      <c r="AG51" s="16"/>
      <c r="AH51" s="23">
        <f>(AF51)-(AG51)</f>
        <v>260</v>
      </c>
      <c r="AI51" s="21"/>
      <c r="AJ51" s="22"/>
      <c r="AK51" s="23"/>
      <c r="AL51" s="21">
        <f>(AF51)+(AI51)</f>
        <v>260</v>
      </c>
      <c r="AM51" s="16"/>
      <c r="AN51" s="23">
        <f>(AL51)-(AM51)</f>
        <v>260</v>
      </c>
      <c r="AO51" s="21"/>
      <c r="AP51" s="22"/>
      <c r="AQ51" s="23"/>
      <c r="AR51" s="21"/>
      <c r="AS51" s="16"/>
      <c r="AT51" s="23"/>
      <c r="AU51" s="21"/>
      <c r="AV51" s="22">
        <f>1215</f>
        <v>1215</v>
      </c>
      <c r="AW51" s="23">
        <f>(AU51)-(AV51)</f>
        <v>-1215</v>
      </c>
      <c r="AX51" s="21">
        <f>200</f>
        <v>200</v>
      </c>
      <c r="AY51" s="16"/>
      <c r="AZ51" s="23">
        <f>(AX51)-(AY51)</f>
        <v>200</v>
      </c>
      <c r="BA51" s="21"/>
      <c r="BB51" s="22"/>
      <c r="BC51" s="23"/>
      <c r="BD51" s="21">
        <f>165</f>
        <v>165</v>
      </c>
      <c r="BE51" s="16"/>
      <c r="BF51" s="23">
        <f>(BD51)-(BE51)</f>
        <v>165</v>
      </c>
      <c r="BG51" s="21">
        <f t="shared" si="6"/>
        <v>1830</v>
      </c>
      <c r="BH51" s="22">
        <f t="shared" si="6"/>
        <v>2215</v>
      </c>
      <c r="BI51" s="23">
        <f t="shared" si="7"/>
        <v>-385</v>
      </c>
      <c r="BJ51" s="21">
        <f>6765</f>
        <v>6765</v>
      </c>
      <c r="BK51" s="22">
        <f>4000</f>
        <v>4000</v>
      </c>
      <c r="BL51" s="23">
        <f>(BJ51)-(BK51)</f>
        <v>2765</v>
      </c>
      <c r="BM51" s="19"/>
      <c r="BN51" s="16"/>
      <c r="BO51" s="23"/>
      <c r="BP51" s="21">
        <f>1925</f>
        <v>1925</v>
      </c>
      <c r="BQ51" s="22">
        <f>1250</f>
        <v>1250</v>
      </c>
      <c r="BR51" s="23">
        <f>(BP51)-(BQ51)</f>
        <v>675</v>
      </c>
      <c r="BS51" s="19"/>
      <c r="BT51" s="16"/>
      <c r="BU51" s="23"/>
      <c r="BV51" s="21">
        <f>215</f>
        <v>215</v>
      </c>
      <c r="BW51" s="16"/>
      <c r="BX51" s="23">
        <f>(BV51)-(BW51)</f>
        <v>215</v>
      </c>
      <c r="BY51" s="19"/>
      <c r="BZ51" s="16"/>
      <c r="CA51" s="23"/>
      <c r="CB51" s="21">
        <f>((((BM51)+(BP51))+(BS51))+(BV51))+(BY51)</f>
        <v>2140</v>
      </c>
      <c r="CC51" s="22">
        <f>((((BN51)+(BQ51))+(BT51))+(BW51))+(BZ51)</f>
        <v>1250</v>
      </c>
      <c r="CD51" s="23">
        <f>(CB51)-(CC51)</f>
        <v>890</v>
      </c>
      <c r="CE51" s="21">
        <f t="shared" si="5"/>
        <v>10735</v>
      </c>
      <c r="CF51" s="22">
        <f t="shared" si="3"/>
        <v>7465</v>
      </c>
      <c r="CG51" s="23">
        <f t="shared" si="4"/>
        <v>3270</v>
      </c>
    </row>
    <row r="52" spans="1:85" x14ac:dyDescent="0.2">
      <c r="A52" s="3" t="s">
        <v>71</v>
      </c>
      <c r="B52" s="19"/>
      <c r="C52" s="16"/>
      <c r="D52" s="23"/>
      <c r="E52" s="21">
        <f>5793.34</f>
        <v>5793.34</v>
      </c>
      <c r="F52" s="22">
        <f>5000</f>
        <v>5000</v>
      </c>
      <c r="G52" s="23">
        <f>(E52)-(F52)</f>
        <v>793.34000000000015</v>
      </c>
      <c r="H52" s="19"/>
      <c r="I52" s="16"/>
      <c r="J52" s="23"/>
      <c r="K52" s="19"/>
      <c r="L52" s="16"/>
      <c r="M52" s="23"/>
      <c r="N52" s="21">
        <f>26011.35</f>
        <v>26011.35</v>
      </c>
      <c r="O52" s="22"/>
      <c r="P52" s="23">
        <f>(N52)-(O52)</f>
        <v>26011.35</v>
      </c>
      <c r="Q52" s="19">
        <f>(((E52)+(H52))+(K52))+(N52)</f>
        <v>31804.69</v>
      </c>
      <c r="R52" s="16">
        <f>(((F52)+(I52))+(L52))+(O52)</f>
        <v>5000</v>
      </c>
      <c r="S52" s="23">
        <f>(Q52)-(R52)</f>
        <v>26804.69</v>
      </c>
      <c r="T52" s="19"/>
      <c r="U52" s="16"/>
      <c r="V52" s="23"/>
      <c r="W52" s="21"/>
      <c r="X52" s="22"/>
      <c r="Y52" s="23"/>
      <c r="Z52" s="19"/>
      <c r="AA52" s="16"/>
      <c r="AB52" s="23"/>
      <c r="AC52" s="21"/>
      <c r="AD52" s="22"/>
      <c r="AE52" s="23"/>
      <c r="AF52" s="19"/>
      <c r="AG52" s="16"/>
      <c r="AH52" s="23"/>
      <c r="AI52" s="21"/>
      <c r="AJ52" s="22"/>
      <c r="AK52" s="23"/>
      <c r="AL52" s="19"/>
      <c r="AM52" s="16"/>
      <c r="AN52" s="23"/>
      <c r="AO52" s="21"/>
      <c r="AP52" s="22"/>
      <c r="AQ52" s="23"/>
      <c r="AR52" s="19"/>
      <c r="AS52" s="16"/>
      <c r="AT52" s="23"/>
      <c r="AU52" s="21"/>
      <c r="AV52" s="22"/>
      <c r="AW52" s="23"/>
      <c r="AX52" s="19"/>
      <c r="AY52" s="16"/>
      <c r="AZ52" s="23"/>
      <c r="BA52" s="21"/>
      <c r="BB52" s="22"/>
      <c r="BC52" s="23"/>
      <c r="BD52" s="19"/>
      <c r="BE52" s="16"/>
      <c r="BF52" s="23"/>
      <c r="BG52" s="21">
        <f t="shared" si="6"/>
        <v>31804.69</v>
      </c>
      <c r="BH52" s="22">
        <f t="shared" si="6"/>
        <v>5000</v>
      </c>
      <c r="BI52" s="23">
        <f t="shared" si="7"/>
        <v>26804.69</v>
      </c>
      <c r="BJ52" s="19"/>
      <c r="BK52" s="16"/>
      <c r="BL52" s="23"/>
      <c r="BM52" s="19"/>
      <c r="BN52" s="16"/>
      <c r="BO52" s="23"/>
      <c r="BP52" s="19"/>
      <c r="BQ52" s="16"/>
      <c r="BR52" s="23"/>
      <c r="BS52" s="19"/>
      <c r="BT52" s="16"/>
      <c r="BU52" s="23"/>
      <c r="BV52" s="19"/>
      <c r="BW52" s="16"/>
      <c r="BX52" s="23"/>
      <c r="BY52" s="19"/>
      <c r="BZ52" s="16"/>
      <c r="CA52" s="23"/>
      <c r="CB52" s="21"/>
      <c r="CC52" s="22"/>
      <c r="CD52" s="23"/>
      <c r="CE52" s="21">
        <f t="shared" si="5"/>
        <v>31804.69</v>
      </c>
      <c r="CF52" s="22">
        <f t="shared" si="3"/>
        <v>5000</v>
      </c>
      <c r="CG52" s="23">
        <f t="shared" si="4"/>
        <v>26804.69</v>
      </c>
    </row>
    <row r="53" spans="1:85" x14ac:dyDescent="0.2">
      <c r="A53" s="3" t="s">
        <v>70</v>
      </c>
      <c r="B53" s="19"/>
      <c r="C53" s="16"/>
      <c r="D53" s="23"/>
      <c r="E53" s="21">
        <f>1500</f>
        <v>1500</v>
      </c>
      <c r="F53" s="22"/>
      <c r="G53" s="23">
        <f>(E53)-(F53)</f>
        <v>1500</v>
      </c>
      <c r="H53" s="19"/>
      <c r="I53" s="16"/>
      <c r="J53" s="23"/>
      <c r="K53" s="19"/>
      <c r="L53" s="16"/>
      <c r="M53" s="23"/>
      <c r="N53" s="21"/>
      <c r="O53" s="22"/>
      <c r="P53" s="23"/>
      <c r="Q53" s="19">
        <f>(((E53)+(H53))+(K53))+(N53)</f>
        <v>1500</v>
      </c>
      <c r="R53" s="16"/>
      <c r="S53" s="23">
        <f>(Q53)-(R53)</f>
        <v>1500</v>
      </c>
      <c r="T53" s="19">
        <f>120</f>
        <v>120</v>
      </c>
      <c r="U53" s="16"/>
      <c r="V53" s="23">
        <f>(T53)-(U53)</f>
        <v>120</v>
      </c>
      <c r="W53" s="21"/>
      <c r="X53" s="22"/>
      <c r="Y53" s="23"/>
      <c r="Z53" s="19"/>
      <c r="AA53" s="16"/>
      <c r="AB53" s="23"/>
      <c r="AC53" s="21">
        <f>((T53)+(W53))+(Z53)</f>
        <v>120</v>
      </c>
      <c r="AD53" s="22"/>
      <c r="AE53" s="23">
        <f>(AC53)-(AD53)</f>
        <v>120</v>
      </c>
      <c r="AF53" s="19"/>
      <c r="AG53" s="16"/>
      <c r="AH53" s="23"/>
      <c r="AI53" s="21"/>
      <c r="AJ53" s="22"/>
      <c r="AK53" s="23"/>
      <c r="AL53" s="19"/>
      <c r="AM53" s="16"/>
      <c r="AN53" s="23"/>
      <c r="AO53" s="21"/>
      <c r="AP53" s="22"/>
      <c r="AQ53" s="23"/>
      <c r="AR53" s="19"/>
      <c r="AS53" s="16"/>
      <c r="AT53" s="23"/>
      <c r="AU53" s="21">
        <f>550</f>
        <v>550</v>
      </c>
      <c r="AV53" s="22"/>
      <c r="AW53" s="23">
        <f>(AU53)-(AV53)</f>
        <v>550</v>
      </c>
      <c r="AX53" s="19">
        <f>200</f>
        <v>200</v>
      </c>
      <c r="AY53" s="16"/>
      <c r="AZ53" s="23">
        <f>(AX53)-(AY53)</f>
        <v>200</v>
      </c>
      <c r="BA53" s="21"/>
      <c r="BB53" s="22"/>
      <c r="BC53" s="23"/>
      <c r="BD53" s="19"/>
      <c r="BE53" s="16"/>
      <c r="BF53" s="23"/>
      <c r="BG53" s="21">
        <f>(((((((((B53)+(Q53))+(AC53))+(AL53))+(AO53))+(AR53))+(AU53))+(AX53))+(BA53))+(BD53)</f>
        <v>2370</v>
      </c>
      <c r="BH53" s="22"/>
      <c r="BI53" s="23">
        <f t="shared" si="7"/>
        <v>2370</v>
      </c>
      <c r="BJ53" s="21">
        <f>4347</f>
        <v>4347</v>
      </c>
      <c r="BK53" s="22">
        <f>10000</f>
        <v>10000</v>
      </c>
      <c r="BL53" s="23">
        <f>(BJ53)-(BK53)</f>
        <v>-5653</v>
      </c>
      <c r="BM53" s="19"/>
      <c r="BN53" s="16"/>
      <c r="BO53" s="23"/>
      <c r="BP53" s="21">
        <f>1400</f>
        <v>1400</v>
      </c>
      <c r="BQ53" s="22">
        <f>800</f>
        <v>800</v>
      </c>
      <c r="BR53" s="23">
        <f>(BP53)-(BQ53)</f>
        <v>600</v>
      </c>
      <c r="BS53" s="19"/>
      <c r="BT53" s="16"/>
      <c r="BU53" s="23"/>
      <c r="BV53" s="19"/>
      <c r="BW53" s="22">
        <f>6000</f>
        <v>6000</v>
      </c>
      <c r="BX53" s="23">
        <f>(BV53)-(BW53)</f>
        <v>-6000</v>
      </c>
      <c r="BY53" s="19"/>
      <c r="BZ53" s="16"/>
      <c r="CA53" s="23"/>
      <c r="CB53" s="21">
        <f t="shared" ref="CB53:CC56" si="8">((((BM53)+(BP53))+(BS53))+(BV53))+(BY53)</f>
        <v>1400</v>
      </c>
      <c r="CC53" s="22">
        <f t="shared" si="8"/>
        <v>6800</v>
      </c>
      <c r="CD53" s="23">
        <f>(CB53)-(CC53)</f>
        <v>-5400</v>
      </c>
      <c r="CE53" s="21">
        <f t="shared" si="5"/>
        <v>8117</v>
      </c>
      <c r="CF53" s="22">
        <f t="shared" si="3"/>
        <v>16800</v>
      </c>
      <c r="CG53" s="23">
        <f t="shared" si="4"/>
        <v>-8683</v>
      </c>
    </row>
    <row r="54" spans="1:85" x14ac:dyDescent="0.2">
      <c r="A54" s="3" t="s">
        <v>69</v>
      </c>
      <c r="B54" s="19"/>
      <c r="C54" s="16"/>
      <c r="D54" s="23"/>
      <c r="E54" s="21"/>
      <c r="F54" s="22"/>
      <c r="G54" s="23"/>
      <c r="H54" s="19"/>
      <c r="I54" s="16"/>
      <c r="J54" s="23"/>
      <c r="K54" s="19"/>
      <c r="L54" s="16"/>
      <c r="M54" s="23"/>
      <c r="N54" s="21"/>
      <c r="O54" s="22"/>
      <c r="P54" s="23"/>
      <c r="Q54" s="19"/>
      <c r="R54" s="16"/>
      <c r="S54" s="23"/>
      <c r="T54" s="19"/>
      <c r="U54" s="16"/>
      <c r="V54" s="23"/>
      <c r="W54" s="21"/>
      <c r="X54" s="22">
        <f>2000</f>
        <v>2000</v>
      </c>
      <c r="Y54" s="23">
        <f>(W54)-(X54)</f>
        <v>-2000</v>
      </c>
      <c r="Z54" s="19"/>
      <c r="AA54" s="16">
        <f>5000</f>
        <v>5000</v>
      </c>
      <c r="AB54" s="23">
        <f>(Z54)-(AA54)</f>
        <v>-5000</v>
      </c>
      <c r="AC54" s="21"/>
      <c r="AD54" s="22">
        <f>((U54)+(X54))+(AA54)</f>
        <v>7000</v>
      </c>
      <c r="AE54" s="23">
        <f>(AC54)-(AD54)</f>
        <v>-7000</v>
      </c>
      <c r="AF54" s="19">
        <f>850</f>
        <v>850</v>
      </c>
      <c r="AG54" s="16"/>
      <c r="AH54" s="23">
        <f>(AF54)-(AG54)</f>
        <v>850</v>
      </c>
      <c r="AI54" s="21"/>
      <c r="AJ54" s="22"/>
      <c r="AK54" s="23"/>
      <c r="AL54" s="19">
        <f>(AF54)+(AI54)</f>
        <v>850</v>
      </c>
      <c r="AM54" s="16"/>
      <c r="AN54" s="23">
        <f>(AL54)-(AM54)</f>
        <v>850</v>
      </c>
      <c r="AO54" s="21"/>
      <c r="AP54" s="22"/>
      <c r="AQ54" s="23"/>
      <c r="AR54" s="19"/>
      <c r="AS54" s="16"/>
      <c r="AT54" s="23"/>
      <c r="AU54" s="21">
        <f>657</f>
        <v>657</v>
      </c>
      <c r="AV54" s="22">
        <f>1207</f>
        <v>1207</v>
      </c>
      <c r="AW54" s="23">
        <f>(AU54)-(AV54)</f>
        <v>-550</v>
      </c>
      <c r="AX54" s="19"/>
      <c r="AY54" s="16"/>
      <c r="AZ54" s="23"/>
      <c r="BA54" s="21"/>
      <c r="BB54" s="22"/>
      <c r="BC54" s="23"/>
      <c r="BD54" s="19"/>
      <c r="BE54" s="16"/>
      <c r="BF54" s="23"/>
      <c r="BG54" s="21">
        <f>(((((((((B54)+(Q54))+(AC54))+(AL54))+(AO54))+(AR54))+(AU54))+(AX54))+(BA54))+(BD54)</f>
        <v>1507</v>
      </c>
      <c r="BH54" s="22">
        <f>(((((((((C54)+(R54))+(AD54))+(AM54))+(AP54))+(AS54))+(AV54))+(AY54))+(BB54))+(BE54)</f>
        <v>8207</v>
      </c>
      <c r="BI54" s="23">
        <f t="shared" si="7"/>
        <v>-6700</v>
      </c>
      <c r="BJ54" s="21">
        <f>3780</f>
        <v>3780</v>
      </c>
      <c r="BK54" s="16"/>
      <c r="BL54" s="23">
        <f>(BJ54)-(BK54)</f>
        <v>3780</v>
      </c>
      <c r="BM54" s="19"/>
      <c r="BN54" s="16"/>
      <c r="BO54" s="23"/>
      <c r="BP54" s="21">
        <f>900</f>
        <v>900</v>
      </c>
      <c r="BQ54" s="22">
        <f>1000</f>
        <v>1000</v>
      </c>
      <c r="BR54" s="23">
        <f>(BP54)-(BQ54)</f>
        <v>-100</v>
      </c>
      <c r="BS54" s="19"/>
      <c r="BT54" s="16"/>
      <c r="BU54" s="23"/>
      <c r="BV54" s="19"/>
      <c r="BW54" s="16"/>
      <c r="BX54" s="23"/>
      <c r="BY54" s="21">
        <f>1314.15</f>
        <v>1314.15</v>
      </c>
      <c r="BZ54" s="22">
        <f>1350</f>
        <v>1350</v>
      </c>
      <c r="CA54" s="23">
        <f>(BY54)-(BZ54)</f>
        <v>-35.849999999999909</v>
      </c>
      <c r="CB54" s="21">
        <f t="shared" si="8"/>
        <v>2214.15</v>
      </c>
      <c r="CC54" s="22">
        <f t="shared" si="8"/>
        <v>2350</v>
      </c>
      <c r="CD54" s="23">
        <f>(CB54)-(CC54)</f>
        <v>-135.84999999999991</v>
      </c>
      <c r="CE54" s="21">
        <f t="shared" si="5"/>
        <v>7501.15</v>
      </c>
      <c r="CF54" s="22">
        <f t="shared" si="3"/>
        <v>10557</v>
      </c>
      <c r="CG54" s="23">
        <f t="shared" si="4"/>
        <v>-3055.8500000000004</v>
      </c>
    </row>
    <row r="55" spans="1:85" s="28" customFormat="1" x14ac:dyDescent="0.2">
      <c r="A55" s="3" t="s">
        <v>145</v>
      </c>
      <c r="B55" s="19"/>
      <c r="C55" s="16"/>
      <c r="D55" s="23"/>
      <c r="E55" s="21"/>
      <c r="F55" s="22"/>
      <c r="G55" s="23"/>
      <c r="H55" s="19"/>
      <c r="I55" s="16"/>
      <c r="J55" s="23"/>
      <c r="K55" s="19"/>
      <c r="L55" s="16"/>
      <c r="M55" s="23"/>
      <c r="N55" s="21"/>
      <c r="O55" s="22"/>
      <c r="P55" s="23"/>
      <c r="Q55" s="19"/>
      <c r="R55" s="16"/>
      <c r="S55" s="23"/>
      <c r="T55" s="19"/>
      <c r="U55" s="16"/>
      <c r="V55" s="23"/>
      <c r="W55" s="21"/>
      <c r="X55" s="22"/>
      <c r="Y55" s="23"/>
      <c r="Z55" s="19"/>
      <c r="AA55" s="16"/>
      <c r="AB55" s="23"/>
      <c r="AC55" s="21"/>
      <c r="AD55" s="22"/>
      <c r="AE55" s="23"/>
      <c r="AF55" s="19"/>
      <c r="AG55" s="16"/>
      <c r="AH55" s="23"/>
      <c r="AI55" s="21"/>
      <c r="AJ55" s="22"/>
      <c r="AK55" s="23"/>
      <c r="AL55" s="19"/>
      <c r="AM55" s="16"/>
      <c r="AN55" s="23"/>
      <c r="AO55" s="21"/>
      <c r="AP55" s="22"/>
      <c r="AQ55" s="23"/>
      <c r="AR55" s="19"/>
      <c r="AS55" s="16"/>
      <c r="AT55" s="23"/>
      <c r="AU55" s="21"/>
      <c r="AV55" s="22"/>
      <c r="AW55" s="23"/>
      <c r="AX55" s="19"/>
      <c r="AY55" s="16"/>
      <c r="AZ55" s="23"/>
      <c r="BA55" s="21"/>
      <c r="BB55" s="22"/>
      <c r="BC55" s="23"/>
      <c r="BD55" s="19"/>
      <c r="BE55" s="16"/>
      <c r="BF55" s="23"/>
      <c r="BG55" s="21"/>
      <c r="BH55" s="22"/>
      <c r="BI55" s="23"/>
      <c r="BJ55" s="21"/>
      <c r="BK55" s="16"/>
      <c r="BL55" s="23"/>
      <c r="BM55" s="19"/>
      <c r="BN55" s="16"/>
      <c r="BO55" s="23"/>
      <c r="BP55" s="21">
        <v>1250</v>
      </c>
      <c r="BQ55" s="22"/>
      <c r="BR55" s="23">
        <f>(BP55)-(BQ55)</f>
        <v>1250</v>
      </c>
      <c r="BS55" s="19"/>
      <c r="BT55" s="16"/>
      <c r="BU55" s="23"/>
      <c r="BV55" s="19"/>
      <c r="BW55" s="16"/>
      <c r="BX55" s="23"/>
      <c r="BY55" s="21"/>
      <c r="BZ55" s="22"/>
      <c r="CA55" s="23"/>
      <c r="CB55" s="21">
        <f t="shared" si="8"/>
        <v>1250</v>
      </c>
      <c r="CC55" s="22"/>
      <c r="CD55" s="23">
        <f>(CB55)-(CC55)</f>
        <v>1250</v>
      </c>
      <c r="CE55" s="21">
        <f t="shared" si="5"/>
        <v>1250</v>
      </c>
      <c r="CF55" s="22"/>
      <c r="CG55" s="23">
        <f t="shared" si="4"/>
        <v>1250</v>
      </c>
    </row>
    <row r="56" spans="1:85" x14ac:dyDescent="0.2">
      <c r="A56" s="3" t="s">
        <v>68</v>
      </c>
      <c r="B56" s="24">
        <f>(((((((B47)+(B48))+(B49))+(B50))+(B51))+(B52))+(B53))+(B54)</f>
        <v>0</v>
      </c>
      <c r="C56" s="6">
        <f>(((((((C47)+(C48))+(C49))+(C50))+(C51))+(C52))+(C53))+(C54)</f>
        <v>0</v>
      </c>
      <c r="D56" s="25">
        <f>(B56)-(C56)</f>
        <v>0</v>
      </c>
      <c r="E56" s="24">
        <f>(((((((E47)+(E48))+(E49))+(E50))+(E51))+(E52))+(E53))+(E54)</f>
        <v>9268.84</v>
      </c>
      <c r="F56" s="6">
        <f>(((((((F47)+(F48))+(F49))+(F50))+(F51))+(F52))+(F53))+(F54)</f>
        <v>6000</v>
      </c>
      <c r="G56" s="25">
        <f>(E56)-(F56)</f>
        <v>3268.84</v>
      </c>
      <c r="H56" s="24">
        <f>(((((((H47)+(H48))+(H49))+(H50))+(H51))+(H52))+(H53))+(H54)</f>
        <v>620</v>
      </c>
      <c r="I56" s="6">
        <f>(((((((I47)+(I48))+(I49))+(I50))+(I51))+(I52))+(I53))+(I54)</f>
        <v>0</v>
      </c>
      <c r="J56" s="25">
        <f>(H56)-(I56)</f>
        <v>620</v>
      </c>
      <c r="K56" s="24">
        <f>(((((((K47)+(K48))+(K49))+(K50))+(K51))+(K52))+(K53))+(K54)</f>
        <v>70</v>
      </c>
      <c r="L56" s="6">
        <f>(((((((L47)+(L48))+(L49))+(L50))+(L51))+(L52))+(L53))+(L54)</f>
        <v>0</v>
      </c>
      <c r="M56" s="25">
        <f>(K56)-(L56)</f>
        <v>70</v>
      </c>
      <c r="N56" s="24">
        <f>(((((((N47)+(N48))+(N49))+(N50))+(N51))+(N52))+(N53))+(N54)</f>
        <v>26011.35</v>
      </c>
      <c r="O56" s="6">
        <f>(((((((O47)+(O48))+(O49))+(O50))+(O51))+(O52))+(O53))+(O54)</f>
        <v>0</v>
      </c>
      <c r="P56" s="25">
        <f>(N56)-(O56)</f>
        <v>26011.35</v>
      </c>
      <c r="Q56" s="24">
        <f>(((E56)+(H56))+(K56))+(N56)</f>
        <v>35970.19</v>
      </c>
      <c r="R56" s="6">
        <f>(((F56)+(I56))+(L56))+(O56)</f>
        <v>6000</v>
      </c>
      <c r="S56" s="25">
        <f>(Q56)-(R56)</f>
        <v>29970.190000000002</v>
      </c>
      <c r="T56" s="24">
        <f>(((((((T47)+(T48))+(T49))+(T50))+(T51))+(T52))+(T53))+(T54)</f>
        <v>140</v>
      </c>
      <c r="U56" s="6">
        <f>(((((((U47)+(U48))+(U49))+(U50))+(U51))+(U52))+(U53))+(U54)</f>
        <v>0</v>
      </c>
      <c r="V56" s="25">
        <f>(T56)-(U56)</f>
        <v>140</v>
      </c>
      <c r="W56" s="24">
        <f>(((((((W47)+(W48))+(W49))+(W50))+(W51))+(W52))+(W53))+(W54)</f>
        <v>15</v>
      </c>
      <c r="X56" s="6">
        <f>(((((((X47)+(X48))+(X49))+(X50))+(X51))+(X52))+(X53))+(X54)</f>
        <v>2000</v>
      </c>
      <c r="Y56" s="25">
        <f>(W56)-(X56)</f>
        <v>-1985</v>
      </c>
      <c r="Z56" s="24">
        <f>(((((((Z47)+(Z48))+(Z49))+(Z50))+(Z51))+(Z52))+(Z53))+(Z54)</f>
        <v>0</v>
      </c>
      <c r="AA56" s="6">
        <f>(((((((AA47)+(AA48))+(AA49))+(AA50))+(AA51))+(AA52))+(AA53))+(AA54)</f>
        <v>5000</v>
      </c>
      <c r="AB56" s="25">
        <f>(Z56)-(AA56)</f>
        <v>-5000</v>
      </c>
      <c r="AC56" s="24">
        <f>((T56)+(W56))+(Z56)</f>
        <v>155</v>
      </c>
      <c r="AD56" s="6">
        <f>((U56)+(X56))+(AA56)</f>
        <v>7000</v>
      </c>
      <c r="AE56" s="25">
        <f>(AC56)-(AD56)</f>
        <v>-6845</v>
      </c>
      <c r="AF56" s="24">
        <f>(((((((AF47)+(AF48))+(AF49))+(AF50))+(AF51))+(AF52))+(AF53))+(AF54)</f>
        <v>4673</v>
      </c>
      <c r="AG56" s="6">
        <f>(((((((AG47)+(AG48))+(AG49))+(AG50))+(AG51))+(AG52))+(AG53))+(AG54)</f>
        <v>6000</v>
      </c>
      <c r="AH56" s="25">
        <f>(AF56)-(AG56)</f>
        <v>-1327</v>
      </c>
      <c r="AI56" s="24">
        <f>(((((((AI47)+(AI48))+(AI49))+(AI50))+(AI51))+(AI52))+(AI53))+(AI54)</f>
        <v>0</v>
      </c>
      <c r="AJ56" s="6">
        <f>(((((((AJ47)+(AJ48))+(AJ49))+(AJ50))+(AJ51))+(AJ52))+(AJ53))+(AJ54)</f>
        <v>0</v>
      </c>
      <c r="AK56" s="25">
        <f>(AI56)-(AJ56)</f>
        <v>0</v>
      </c>
      <c r="AL56" s="24">
        <f>(AF56)+(AI56)</f>
        <v>4673</v>
      </c>
      <c r="AM56" s="6">
        <f>(AG56)+(AJ56)</f>
        <v>6000</v>
      </c>
      <c r="AN56" s="25">
        <f>(AL56)-(AM56)</f>
        <v>-1327</v>
      </c>
      <c r="AO56" s="24">
        <f>(((((((AO47)+(AO48))+(AO49))+(AO50))+(AO51))+(AO52))+(AO53))+(AO54)</f>
        <v>50</v>
      </c>
      <c r="AP56" s="6">
        <f>(((((((AP47)+(AP48))+(AP49))+(AP50))+(AP51))+(AP52))+(AP53))+(AP54)</f>
        <v>0</v>
      </c>
      <c r="AQ56" s="25">
        <f>(AO56)-(AP56)</f>
        <v>50</v>
      </c>
      <c r="AR56" s="24">
        <f>(((((((AR47)+(AR48))+(AR49))+(AR50))+(AR51))+(AR52))+(AR53))+(AR54)</f>
        <v>0</v>
      </c>
      <c r="AS56" s="6">
        <f>(((((((AS47)+(AS48))+(AS49))+(AS50))+(AS51))+(AS52))+(AS53))+(AS54)</f>
        <v>0</v>
      </c>
      <c r="AT56" s="25">
        <f>(AR56)-(AS56)</f>
        <v>0</v>
      </c>
      <c r="AU56" s="24">
        <f>(((((((AU47)+(AU48))+(AU49))+(AU50))+(AU51))+(AU52))+(AU53))+(AU54)</f>
        <v>1407</v>
      </c>
      <c r="AV56" s="6">
        <f>(((((((AV47)+(AV48))+(AV49))+(AV50))+(AV51))+(AV52))+(AV53))+(AV54)</f>
        <v>2422</v>
      </c>
      <c r="AW56" s="25">
        <f>(AU56)-(AV56)</f>
        <v>-1015</v>
      </c>
      <c r="AX56" s="24">
        <f>(((((((AX47)+(AX48))+(AX49))+(AX50))+(AX51))+(AX52))+(AX53))+(AX54)</f>
        <v>56375.5</v>
      </c>
      <c r="AY56" s="6">
        <f>(((((((AY47)+(AY48))+(AY49))+(AY50))+(AY51))+(AY52))+(AY53))+(AY54)</f>
        <v>54540</v>
      </c>
      <c r="AZ56" s="25">
        <f>(AX56)-(AY56)</f>
        <v>1835.5</v>
      </c>
      <c r="BA56" s="24">
        <f>(((((((BA47)+(BA48))+(BA49))+(BA50))+(BA51))+(BA52))+(BA53))+(BA54)</f>
        <v>0</v>
      </c>
      <c r="BB56" s="6">
        <f>(((((((BB47)+(BB48))+(BB49))+(BB50))+(BB51))+(BB52))+(BB53))+(BB54)</f>
        <v>0</v>
      </c>
      <c r="BC56" s="25">
        <f>(BA56)-(BB56)</f>
        <v>0</v>
      </c>
      <c r="BD56" s="24">
        <f>(((((((BD47)+(BD48))+(BD49))+(BD50))+(BD51))+(BD52))+(BD53))+(BD54)</f>
        <v>1845</v>
      </c>
      <c r="BE56" s="6">
        <f>(((((((BE47)+(BE48))+(BE49))+(BE50))+(BE51))+(BE52))+(BE53))+(BE54)</f>
        <v>0</v>
      </c>
      <c r="BF56" s="25">
        <f>(BD56)-(BE56)</f>
        <v>1845</v>
      </c>
      <c r="BG56" s="24">
        <f>(((((((((B56)+(Q56))+(AC56))+(AL56))+(AO56))+(AR56))+(AU56))+(AX56))+(BA56))+(BD56)</f>
        <v>100475.69</v>
      </c>
      <c r="BH56" s="6">
        <f>(((((((((C56)+(R56))+(AD56))+(AM56))+(AP56))+(AS56))+(AV56))+(AY56))+(BB56))+(BE56)</f>
        <v>75962</v>
      </c>
      <c r="BI56" s="25">
        <f t="shared" si="7"/>
        <v>24513.690000000002</v>
      </c>
      <c r="BJ56" s="24">
        <f>(((((((BJ47)+(BJ48))+(BJ49))+(BJ50))+(BJ51))+(BJ52))+(BJ53))+(BJ54)</f>
        <v>34158.31</v>
      </c>
      <c r="BK56" s="6">
        <f>(((((((BK47)+(BK48))+(BK49))+(BK50))+(BK51))+(BK52))+(BK53))+(BK54)</f>
        <v>27294</v>
      </c>
      <c r="BL56" s="25">
        <f>(BJ56)-(BK56)</f>
        <v>6864.3099999999977</v>
      </c>
      <c r="BM56" s="24">
        <f>(((((((BM47)+(BM48))+(BM49))+(BM50))+(BM51))+(BM52))+(BM53))+(BM54)</f>
        <v>450</v>
      </c>
      <c r="BN56" s="6">
        <f>(((((((BN47)+(BN48))+(BN49))+(BN50))+(BN51))+(BN52))+(BN53))+(BN54)</f>
        <v>0</v>
      </c>
      <c r="BO56" s="25">
        <f>(BM56)-(BN56)</f>
        <v>450</v>
      </c>
      <c r="BP56" s="24">
        <f>(((((((BP47)+(BP48))+(BP49))+(BP50))+(BP51))+(BP52))+(BP53))+(BP54)+BP55</f>
        <v>5980</v>
      </c>
      <c r="BQ56" s="6">
        <f>(((((((BQ47)+(BQ48))+(BQ49))+(BQ50))+(BQ51))+(BQ52))+(BQ53))+(BQ54)</f>
        <v>3050</v>
      </c>
      <c r="BR56" s="25">
        <f>(BP56)-(BQ56)</f>
        <v>2930</v>
      </c>
      <c r="BS56" s="24">
        <f>(((((((BS47)+(BS48))+(BS49))+(BS50))+(BS51))+(BS52))+(BS53))+(BS54)</f>
        <v>0</v>
      </c>
      <c r="BT56" s="6">
        <f>(((((((BT47)+(BT48))+(BT49))+(BT50))+(BT51))+(BT52))+(BT53))+(BT54)</f>
        <v>0</v>
      </c>
      <c r="BU56" s="25">
        <f>(BS56)-(BT56)</f>
        <v>0</v>
      </c>
      <c r="BV56" s="24">
        <f>(((((((BV47)+(BV48))+(BV49))+(BV50))+(BV51))+(BV52))+(BV53))+(BV54)</f>
        <v>595</v>
      </c>
      <c r="BW56" s="6">
        <f>(((((((BW47)+(BW48))+(BW49))+(BW50))+(BW51))+(BW52))+(BW53))+(BW54)</f>
        <v>9000</v>
      </c>
      <c r="BX56" s="25">
        <f>(BV56)-(BW56)</f>
        <v>-8405</v>
      </c>
      <c r="BY56" s="24">
        <f>(((((((BY47)+(BY48))+(BY49))+(BY50))+(BY51))+(BY52))+(BY53))+(BY54)</f>
        <v>1314.15</v>
      </c>
      <c r="BZ56" s="6">
        <f>(((((((BZ47)+(BZ48))+(BZ49))+(BZ50))+(BZ51))+(BZ52))+(BZ53))+(BZ54)</f>
        <v>1350</v>
      </c>
      <c r="CA56" s="25">
        <f>(BY56)-(BZ56)</f>
        <v>-35.849999999999909</v>
      </c>
      <c r="CB56" s="24">
        <f t="shared" si="8"/>
        <v>8339.15</v>
      </c>
      <c r="CC56" s="6">
        <f t="shared" si="8"/>
        <v>13400</v>
      </c>
      <c r="CD56" s="25">
        <f>(CB56)-(CC56)</f>
        <v>-5060.8500000000004</v>
      </c>
      <c r="CE56" s="24">
        <f t="shared" si="5"/>
        <v>142973.15</v>
      </c>
      <c r="CF56" s="6">
        <f t="shared" si="3"/>
        <v>116656</v>
      </c>
      <c r="CG56" s="25">
        <f t="shared" si="4"/>
        <v>26317.149999999994</v>
      </c>
    </row>
    <row r="57" spans="1:85" x14ac:dyDescent="0.2">
      <c r="A57" s="3"/>
      <c r="B57" s="26"/>
      <c r="C57" s="9"/>
      <c r="D57" s="27"/>
      <c r="E57" s="26"/>
      <c r="F57" s="9"/>
      <c r="G57" s="27"/>
      <c r="H57" s="26"/>
      <c r="I57" s="9"/>
      <c r="J57" s="27"/>
      <c r="K57" s="26"/>
      <c r="L57" s="9"/>
      <c r="M57" s="27"/>
      <c r="N57" s="26"/>
      <c r="O57" s="9"/>
      <c r="P57" s="27"/>
      <c r="Q57" s="26"/>
      <c r="R57" s="9"/>
      <c r="S57" s="27"/>
      <c r="T57" s="26"/>
      <c r="U57" s="9"/>
      <c r="V57" s="27"/>
      <c r="W57" s="26"/>
      <c r="X57" s="9"/>
      <c r="Y57" s="27"/>
      <c r="Z57" s="26"/>
      <c r="AA57" s="9"/>
      <c r="AB57" s="27"/>
      <c r="AC57" s="26"/>
      <c r="AD57" s="9"/>
      <c r="AE57" s="27"/>
      <c r="AF57" s="26"/>
      <c r="AG57" s="9"/>
      <c r="AH57" s="27"/>
      <c r="AI57" s="26"/>
      <c r="AJ57" s="9"/>
      <c r="AK57" s="27"/>
      <c r="AL57" s="26"/>
      <c r="AM57" s="9"/>
      <c r="AN57" s="27"/>
      <c r="AO57" s="26"/>
      <c r="AP57" s="9"/>
      <c r="AQ57" s="27"/>
      <c r="AR57" s="26"/>
      <c r="AS57" s="9"/>
      <c r="AT57" s="27"/>
      <c r="AU57" s="26"/>
      <c r="AV57" s="9"/>
      <c r="AW57" s="27"/>
      <c r="AX57" s="26"/>
      <c r="AY57" s="9"/>
      <c r="AZ57" s="27"/>
      <c r="BA57" s="26"/>
      <c r="BB57" s="9"/>
      <c r="BC57" s="27"/>
      <c r="BD57" s="26"/>
      <c r="BE57" s="9"/>
      <c r="BF57" s="27"/>
      <c r="BG57" s="26"/>
      <c r="BH57" s="9"/>
      <c r="BI57" s="27"/>
      <c r="BJ57" s="26"/>
      <c r="BK57" s="9"/>
      <c r="BL57" s="27"/>
      <c r="BM57" s="26"/>
      <c r="BN57" s="9"/>
      <c r="BO57" s="27"/>
      <c r="BP57" s="26"/>
      <c r="BQ57" s="9"/>
      <c r="BR57" s="27"/>
      <c r="BS57" s="26"/>
      <c r="BT57" s="9"/>
      <c r="BU57" s="27"/>
      <c r="BV57" s="26"/>
      <c r="BW57" s="9"/>
      <c r="BX57" s="27"/>
      <c r="BY57" s="26"/>
      <c r="BZ57" s="9"/>
      <c r="CA57" s="27"/>
      <c r="CB57" s="26"/>
      <c r="CC57" s="9"/>
      <c r="CD57" s="27"/>
      <c r="CE57" s="26"/>
      <c r="CF57" s="9"/>
      <c r="CG57" s="27"/>
    </row>
    <row r="58" spans="1:85" x14ac:dyDescent="0.2">
      <c r="A58" s="3" t="s">
        <v>67</v>
      </c>
      <c r="B58" s="19"/>
      <c r="C58" s="16"/>
      <c r="D58" s="23"/>
      <c r="E58" s="21"/>
      <c r="F58" s="22"/>
      <c r="G58" s="23"/>
      <c r="H58" s="19"/>
      <c r="I58" s="16"/>
      <c r="J58" s="23"/>
      <c r="K58" s="19"/>
      <c r="L58" s="16"/>
      <c r="M58" s="23"/>
      <c r="N58" s="21"/>
      <c r="O58" s="22"/>
      <c r="P58" s="23"/>
      <c r="Q58" s="19"/>
      <c r="R58" s="16"/>
      <c r="S58" s="23"/>
      <c r="T58" s="19"/>
      <c r="U58" s="16"/>
      <c r="V58" s="23"/>
      <c r="W58" s="21"/>
      <c r="X58" s="22"/>
      <c r="Y58" s="23"/>
      <c r="Z58" s="19"/>
      <c r="AA58" s="16"/>
      <c r="AB58" s="23"/>
      <c r="AC58" s="21"/>
      <c r="AD58" s="22"/>
      <c r="AE58" s="23"/>
      <c r="AF58" s="19"/>
      <c r="AG58" s="16"/>
      <c r="AH58" s="23"/>
      <c r="AI58" s="21"/>
      <c r="AJ58" s="22"/>
      <c r="AK58" s="23"/>
      <c r="AL58" s="19"/>
      <c r="AM58" s="16"/>
      <c r="AN58" s="23"/>
      <c r="AO58" s="21"/>
      <c r="AP58" s="22"/>
      <c r="AQ58" s="23"/>
      <c r="AR58" s="19"/>
      <c r="AS58" s="16"/>
      <c r="AT58" s="23"/>
      <c r="AU58" s="21"/>
      <c r="AV58" s="22"/>
      <c r="AW58" s="23"/>
      <c r="AX58" s="19"/>
      <c r="AY58" s="16"/>
      <c r="AZ58" s="23"/>
      <c r="BA58" s="21"/>
      <c r="BB58" s="22"/>
      <c r="BC58" s="23"/>
      <c r="BD58" s="19"/>
      <c r="BE58" s="16"/>
      <c r="BF58" s="23"/>
      <c r="BG58" s="21"/>
      <c r="BH58" s="22"/>
      <c r="BI58" s="23"/>
      <c r="BJ58" s="19"/>
      <c r="BK58" s="16"/>
      <c r="BL58" s="23"/>
      <c r="BM58" s="19"/>
      <c r="BN58" s="16"/>
      <c r="BO58" s="23"/>
      <c r="BP58" s="19"/>
      <c r="BQ58" s="16"/>
      <c r="BR58" s="23"/>
      <c r="BS58" s="19"/>
      <c r="BT58" s="16"/>
      <c r="BU58" s="23"/>
      <c r="BV58" s="19"/>
      <c r="BW58" s="16"/>
      <c r="BX58" s="23"/>
      <c r="BY58" s="19"/>
      <c r="BZ58" s="16"/>
      <c r="CA58" s="23"/>
      <c r="CB58" s="21"/>
      <c r="CC58" s="22"/>
      <c r="CD58" s="23"/>
      <c r="CE58" s="21"/>
      <c r="CF58" s="22"/>
      <c r="CG58" s="23"/>
    </row>
    <row r="59" spans="1:85" x14ac:dyDescent="0.2">
      <c r="A59" s="3" t="s">
        <v>66</v>
      </c>
      <c r="B59" s="19"/>
      <c r="C59" s="16"/>
      <c r="D59" s="23"/>
      <c r="E59" s="21"/>
      <c r="F59" s="22"/>
      <c r="G59" s="23"/>
      <c r="H59" s="19">
        <f>229.35</f>
        <v>229.35</v>
      </c>
      <c r="I59" s="16"/>
      <c r="J59" s="23">
        <f>(H59)-(I59)</f>
        <v>229.35</v>
      </c>
      <c r="K59" s="19"/>
      <c r="L59" s="16"/>
      <c r="M59" s="23"/>
      <c r="N59" s="21"/>
      <c r="O59" s="22"/>
      <c r="P59" s="23"/>
      <c r="Q59" s="19">
        <f>(((E59)+(H59))+(K59))+(N59)</f>
        <v>229.35</v>
      </c>
      <c r="R59" s="16"/>
      <c r="S59" s="23">
        <f>(Q59)-(R59)</f>
        <v>229.35</v>
      </c>
      <c r="T59" s="19"/>
      <c r="U59" s="16"/>
      <c r="V59" s="23"/>
      <c r="W59" s="21"/>
      <c r="X59" s="22"/>
      <c r="Y59" s="23"/>
      <c r="Z59" s="19"/>
      <c r="AA59" s="16"/>
      <c r="AB59" s="23"/>
      <c r="AC59" s="21"/>
      <c r="AD59" s="22"/>
      <c r="AE59" s="23"/>
      <c r="AF59" s="19"/>
      <c r="AG59" s="16"/>
      <c r="AH59" s="23"/>
      <c r="AI59" s="21"/>
      <c r="AJ59" s="22"/>
      <c r="AK59" s="23"/>
      <c r="AL59" s="19"/>
      <c r="AM59" s="16"/>
      <c r="AN59" s="23"/>
      <c r="AO59" s="21"/>
      <c r="AP59" s="22">
        <f>100</f>
        <v>100</v>
      </c>
      <c r="AQ59" s="23">
        <f>(AO59)-(AP59)</f>
        <v>-100</v>
      </c>
      <c r="AR59" s="19">
        <f>397.42</f>
        <v>397.42</v>
      </c>
      <c r="AS59" s="16"/>
      <c r="AT59" s="23">
        <f>(AR59)-(AS59)</f>
        <v>397.42</v>
      </c>
      <c r="AU59" s="21">
        <f>96.85</f>
        <v>96.85</v>
      </c>
      <c r="AV59" s="22">
        <f>100</f>
        <v>100</v>
      </c>
      <c r="AW59" s="23">
        <f>(AU59)-(AV59)</f>
        <v>-3.1500000000000057</v>
      </c>
      <c r="AX59" s="19"/>
      <c r="AY59" s="16">
        <f>200</f>
        <v>200</v>
      </c>
      <c r="AZ59" s="23">
        <f>(AX59)-(AY59)</f>
        <v>-200</v>
      </c>
      <c r="BA59" s="21"/>
      <c r="BB59" s="22"/>
      <c r="BC59" s="23"/>
      <c r="BD59" s="19"/>
      <c r="BE59" s="16"/>
      <c r="BF59" s="23"/>
      <c r="BG59" s="21">
        <f>(((((((((B59)+(Q59))+(AC59))+(AL59))+(AO59))+(AR59))+(AU59))+(AX59))+(BA59))+(BD59)</f>
        <v>723.62</v>
      </c>
      <c r="BH59" s="22">
        <f>(((((((((C59)+(R59))+(AD59))+(AM59))+(AP59))+(AS59))+(AV59))+(AY59))+(BB59))+(BE59)</f>
        <v>400</v>
      </c>
      <c r="BI59" s="23">
        <f>(BG59)-(BH59)</f>
        <v>323.62</v>
      </c>
      <c r="BJ59" s="21">
        <f>108.25</f>
        <v>108.25</v>
      </c>
      <c r="BK59" s="22">
        <f>200</f>
        <v>200</v>
      </c>
      <c r="BL59" s="23">
        <f>(BJ59)-(BK59)</f>
        <v>-91.75</v>
      </c>
      <c r="BM59" s="19"/>
      <c r="BN59" s="16"/>
      <c r="BO59" s="23"/>
      <c r="BP59" s="21">
        <f>2440.2</f>
        <v>2440.1999999999998</v>
      </c>
      <c r="BQ59" s="22">
        <f>3000</f>
        <v>3000</v>
      </c>
      <c r="BR59" s="23">
        <f>(BP59)-(BQ59)</f>
        <v>-559.80000000000018</v>
      </c>
      <c r="BS59" s="19"/>
      <c r="BT59" s="16"/>
      <c r="BU59" s="23"/>
      <c r="BV59" s="21">
        <f>13.92</f>
        <v>13.92</v>
      </c>
      <c r="BW59" s="16"/>
      <c r="BX59" s="23">
        <f>(BV59)-(BW59)</f>
        <v>13.92</v>
      </c>
      <c r="BY59" s="21">
        <f>152.05</f>
        <v>152.05000000000001</v>
      </c>
      <c r="BZ59" s="22">
        <f>150</f>
        <v>150</v>
      </c>
      <c r="CA59" s="23">
        <f>(BY59)-(BZ59)</f>
        <v>2.0500000000000114</v>
      </c>
      <c r="CB59" s="21">
        <f>((((BM59)+(BP59))+(BS59))+(BV59))+(BY59)</f>
        <v>2606.17</v>
      </c>
      <c r="CC59" s="22">
        <f>((((BN59)+(BQ59))+(BT59))+(BW59))+(BZ59)</f>
        <v>3150</v>
      </c>
      <c r="CD59" s="23">
        <f>(CB59)-(CC59)</f>
        <v>-543.82999999999993</v>
      </c>
      <c r="CE59" s="21">
        <f t="shared" ref="CE59:CF61" si="9">((BG59)+(BJ59))+(CB59)</f>
        <v>3438.04</v>
      </c>
      <c r="CF59" s="22">
        <f t="shared" si="9"/>
        <v>3750</v>
      </c>
      <c r="CG59" s="23">
        <f t="shared" ref="CG59:CG66" si="10">(CE59)-(CF59)</f>
        <v>-311.96000000000004</v>
      </c>
    </row>
    <row r="60" spans="1:85" x14ac:dyDescent="0.2">
      <c r="A60" s="3" t="s">
        <v>65</v>
      </c>
      <c r="B60" s="19"/>
      <c r="C60" s="16"/>
      <c r="D60" s="23"/>
      <c r="E60" s="21"/>
      <c r="F60" s="22"/>
      <c r="G60" s="23"/>
      <c r="H60" s="19"/>
      <c r="I60" s="16"/>
      <c r="J60" s="23"/>
      <c r="K60" s="19"/>
      <c r="L60" s="16"/>
      <c r="M60" s="23"/>
      <c r="N60" s="21"/>
      <c r="O60" s="22"/>
      <c r="P60" s="23"/>
      <c r="Q60" s="19"/>
      <c r="R60" s="16"/>
      <c r="S60" s="23"/>
      <c r="T60" s="19"/>
      <c r="U60" s="16"/>
      <c r="V60" s="23"/>
      <c r="W60" s="21"/>
      <c r="X60" s="22"/>
      <c r="Y60" s="23"/>
      <c r="Z60" s="19"/>
      <c r="AA60" s="16"/>
      <c r="AB60" s="23"/>
      <c r="AC60" s="21"/>
      <c r="AD60" s="22"/>
      <c r="AE60" s="23"/>
      <c r="AF60" s="19"/>
      <c r="AG60" s="16"/>
      <c r="AH60" s="23"/>
      <c r="AI60" s="21"/>
      <c r="AJ60" s="22"/>
      <c r="AK60" s="23"/>
      <c r="AL60" s="19"/>
      <c r="AM60" s="16"/>
      <c r="AN60" s="23"/>
      <c r="AO60" s="21"/>
      <c r="AP60" s="22"/>
      <c r="AQ60" s="23"/>
      <c r="AR60" s="19"/>
      <c r="AS60" s="16"/>
      <c r="AT60" s="23"/>
      <c r="AU60" s="21"/>
      <c r="AV60" s="22"/>
      <c r="AW60" s="23"/>
      <c r="AX60" s="19"/>
      <c r="AY60" s="16"/>
      <c r="AZ60" s="23"/>
      <c r="BA60" s="21"/>
      <c r="BB60" s="22"/>
      <c r="BC60" s="23"/>
      <c r="BD60" s="19"/>
      <c r="BE60" s="16"/>
      <c r="BF60" s="23"/>
      <c r="BG60" s="21"/>
      <c r="BH60" s="22"/>
      <c r="BI60" s="23"/>
      <c r="BJ60" s="21">
        <f>553.47</f>
        <v>553.47</v>
      </c>
      <c r="BK60" s="22">
        <f>100</f>
        <v>100</v>
      </c>
      <c r="BL60" s="23">
        <f>(BJ60)-(BK60)</f>
        <v>453.47</v>
      </c>
      <c r="BM60" s="19"/>
      <c r="BN60" s="16"/>
      <c r="BO60" s="23"/>
      <c r="BP60" s="19"/>
      <c r="BQ60" s="16"/>
      <c r="BR60" s="23"/>
      <c r="BS60" s="19"/>
      <c r="BT60" s="16"/>
      <c r="BU60" s="23"/>
      <c r="BV60" s="19"/>
      <c r="BW60" s="16"/>
      <c r="BX60" s="23"/>
      <c r="BY60" s="19"/>
      <c r="BZ60" s="16"/>
      <c r="CA60" s="23"/>
      <c r="CB60" s="21"/>
      <c r="CC60" s="22"/>
      <c r="CD60" s="23"/>
      <c r="CE60" s="21">
        <f t="shared" si="9"/>
        <v>553.47</v>
      </c>
      <c r="CF60" s="22">
        <f t="shared" si="9"/>
        <v>100</v>
      </c>
      <c r="CG60" s="23">
        <f t="shared" si="10"/>
        <v>453.47</v>
      </c>
    </row>
    <row r="61" spans="1:85" x14ac:dyDescent="0.2">
      <c r="A61" s="3" t="s">
        <v>64</v>
      </c>
      <c r="B61" s="19"/>
      <c r="C61" s="16"/>
      <c r="D61" s="23"/>
      <c r="E61" s="21"/>
      <c r="F61" s="22"/>
      <c r="G61" s="23"/>
      <c r="H61" s="19"/>
      <c r="I61" s="16"/>
      <c r="J61" s="23"/>
      <c r="K61" s="19"/>
      <c r="L61" s="16"/>
      <c r="M61" s="23"/>
      <c r="N61" s="21"/>
      <c r="O61" s="22"/>
      <c r="P61" s="23"/>
      <c r="Q61" s="19"/>
      <c r="R61" s="16"/>
      <c r="S61" s="23"/>
      <c r="T61" s="19"/>
      <c r="U61" s="16"/>
      <c r="V61" s="23"/>
      <c r="W61" s="21"/>
      <c r="X61" s="22">
        <f>500</f>
        <v>500</v>
      </c>
      <c r="Y61" s="23">
        <f>(W61)-(X61)</f>
        <v>-500</v>
      </c>
      <c r="Z61" s="19"/>
      <c r="AA61" s="16"/>
      <c r="AB61" s="23"/>
      <c r="AC61" s="21"/>
      <c r="AD61" s="22">
        <f>((U61)+(X61))+(AA61)</f>
        <v>500</v>
      </c>
      <c r="AE61" s="23">
        <f>(AC61)-(AD61)</f>
        <v>-500</v>
      </c>
      <c r="AF61" s="19"/>
      <c r="AG61" s="16"/>
      <c r="AH61" s="23"/>
      <c r="AI61" s="21"/>
      <c r="AJ61" s="22"/>
      <c r="AK61" s="23"/>
      <c r="AL61" s="19"/>
      <c r="AM61" s="16"/>
      <c r="AN61" s="23"/>
      <c r="AO61" s="21"/>
      <c r="AP61" s="22"/>
      <c r="AQ61" s="23"/>
      <c r="AR61" s="19"/>
      <c r="AS61" s="16"/>
      <c r="AT61" s="23"/>
      <c r="AU61" s="21"/>
      <c r="AV61" s="22"/>
      <c r="AW61" s="23"/>
      <c r="AX61" s="19"/>
      <c r="AY61" s="16"/>
      <c r="AZ61" s="23"/>
      <c r="BA61" s="21"/>
      <c r="BB61" s="22"/>
      <c r="BC61" s="23"/>
      <c r="BD61" s="19"/>
      <c r="BE61" s="16"/>
      <c r="BF61" s="23"/>
      <c r="BG61" s="21"/>
      <c r="BH61" s="22">
        <f>(((((((((C61)+(R61))+(AD61))+(AM61))+(AP61))+(AS61))+(AV61))+(AY61))+(BB61))+(BE61)</f>
        <v>500</v>
      </c>
      <c r="BI61" s="23">
        <f>(BG61)-(BH61)</f>
        <v>-500</v>
      </c>
      <c r="BJ61" s="21">
        <f>403</f>
        <v>403</v>
      </c>
      <c r="BK61" s="22">
        <f>600</f>
        <v>600</v>
      </c>
      <c r="BL61" s="23">
        <f>(BJ61)-(BK61)</f>
        <v>-197</v>
      </c>
      <c r="BM61" s="19"/>
      <c r="BN61" s="16"/>
      <c r="BO61" s="23"/>
      <c r="BP61" s="21">
        <f>26</f>
        <v>26</v>
      </c>
      <c r="BQ61" s="22">
        <f>60</f>
        <v>60</v>
      </c>
      <c r="BR61" s="23">
        <f>(BP61)-(BQ61)</f>
        <v>-34</v>
      </c>
      <c r="BS61" s="19"/>
      <c r="BT61" s="16"/>
      <c r="BU61" s="23"/>
      <c r="BV61" s="19"/>
      <c r="BW61" s="16"/>
      <c r="BX61" s="23"/>
      <c r="BY61" s="19"/>
      <c r="BZ61" s="16"/>
      <c r="CA61" s="23"/>
      <c r="CB61" s="21">
        <f>((((BM61)+(BP61))+(BS61))+(BV61))+(BY61)</f>
        <v>26</v>
      </c>
      <c r="CC61" s="22">
        <f>((((BN61)+(BQ61))+(BT61))+(BW61))+(BZ61)</f>
        <v>60</v>
      </c>
      <c r="CD61" s="23">
        <f>(CB61)-(CC61)</f>
        <v>-34</v>
      </c>
      <c r="CE61" s="21">
        <f t="shared" si="9"/>
        <v>429</v>
      </c>
      <c r="CF61" s="22">
        <f t="shared" si="9"/>
        <v>1160</v>
      </c>
      <c r="CG61" s="23">
        <f t="shared" si="10"/>
        <v>-731</v>
      </c>
    </row>
    <row r="62" spans="1:85" x14ac:dyDescent="0.2">
      <c r="A62" s="3" t="s">
        <v>63</v>
      </c>
      <c r="B62" s="19"/>
      <c r="C62" s="16"/>
      <c r="D62" s="23"/>
      <c r="E62" s="21"/>
      <c r="F62" s="22"/>
      <c r="G62" s="23"/>
      <c r="H62" s="19"/>
      <c r="I62" s="16"/>
      <c r="J62" s="23"/>
      <c r="K62" s="19"/>
      <c r="L62" s="16"/>
      <c r="M62" s="23"/>
      <c r="N62" s="21"/>
      <c r="O62" s="22"/>
      <c r="P62" s="23"/>
      <c r="Q62" s="19"/>
      <c r="R62" s="16"/>
      <c r="S62" s="23"/>
      <c r="T62" s="19"/>
      <c r="U62" s="16"/>
      <c r="V62" s="23"/>
      <c r="W62" s="21"/>
      <c r="X62" s="22"/>
      <c r="Y62" s="23"/>
      <c r="Z62" s="19"/>
      <c r="AA62" s="16"/>
      <c r="AB62" s="23"/>
      <c r="AC62" s="21"/>
      <c r="AD62" s="22"/>
      <c r="AE62" s="23"/>
      <c r="AF62" s="19"/>
      <c r="AG62" s="16"/>
      <c r="AH62" s="23"/>
      <c r="AI62" s="21"/>
      <c r="AJ62" s="22"/>
      <c r="AK62" s="23"/>
      <c r="AL62" s="19"/>
      <c r="AM62" s="16"/>
      <c r="AN62" s="23"/>
      <c r="AO62" s="21"/>
      <c r="AP62" s="22"/>
      <c r="AQ62" s="23"/>
      <c r="AR62" s="19"/>
      <c r="AS62" s="16"/>
      <c r="AT62" s="23"/>
      <c r="AU62" s="21"/>
      <c r="AV62" s="22"/>
      <c r="AW62" s="23"/>
      <c r="AX62" s="19"/>
      <c r="AY62" s="16"/>
      <c r="AZ62" s="23"/>
      <c r="BA62" s="21"/>
      <c r="BB62" s="22"/>
      <c r="BC62" s="23"/>
      <c r="BD62" s="19"/>
      <c r="BE62" s="16"/>
      <c r="BF62" s="23"/>
      <c r="BG62" s="21"/>
      <c r="BH62" s="22"/>
      <c r="BI62" s="23"/>
      <c r="BJ62" s="21">
        <f>625.94</f>
        <v>625.94000000000005</v>
      </c>
      <c r="BK62" s="16"/>
      <c r="BL62" s="23">
        <f>(BJ62)-(BK62)</f>
        <v>625.94000000000005</v>
      </c>
      <c r="BM62" s="19"/>
      <c r="BN62" s="16"/>
      <c r="BO62" s="23"/>
      <c r="BP62" s="19"/>
      <c r="BQ62" s="16"/>
      <c r="BR62" s="23"/>
      <c r="BS62" s="19"/>
      <c r="BT62" s="16"/>
      <c r="BU62" s="23"/>
      <c r="BV62" s="19"/>
      <c r="BW62" s="16"/>
      <c r="BX62" s="23"/>
      <c r="BY62" s="19"/>
      <c r="BZ62" s="16"/>
      <c r="CA62" s="23"/>
      <c r="CB62" s="21"/>
      <c r="CC62" s="22"/>
      <c r="CD62" s="23"/>
      <c r="CE62" s="21">
        <f>((BG62)+(BJ62))+(CB62)</f>
        <v>625.94000000000005</v>
      </c>
      <c r="CF62" s="22"/>
      <c r="CG62" s="23">
        <f t="shared" si="10"/>
        <v>625.94000000000005</v>
      </c>
    </row>
    <row r="63" spans="1:85" x14ac:dyDescent="0.2">
      <c r="A63" s="3" t="s">
        <v>62</v>
      </c>
      <c r="B63" s="21"/>
      <c r="C63" s="16"/>
      <c r="D63" s="23"/>
      <c r="E63" s="21">
        <f>69.99</f>
        <v>69.989999999999995</v>
      </c>
      <c r="F63" s="22"/>
      <c r="G63" s="23">
        <f>(E63)-(F63)</f>
        <v>69.989999999999995</v>
      </c>
      <c r="H63" s="21">
        <f>19.88</f>
        <v>19.88</v>
      </c>
      <c r="I63" s="16"/>
      <c r="J63" s="23">
        <f>(H63)-(I63)</f>
        <v>19.88</v>
      </c>
      <c r="K63" s="21"/>
      <c r="L63" s="16"/>
      <c r="M63" s="23"/>
      <c r="N63" s="21"/>
      <c r="O63" s="22"/>
      <c r="P63" s="23"/>
      <c r="Q63" s="21">
        <f>(((E63)+(H63))+(K63))+(N63)</f>
        <v>89.86999999999999</v>
      </c>
      <c r="R63" s="16"/>
      <c r="S63" s="23">
        <f>(Q63)-(R63)</f>
        <v>89.86999999999999</v>
      </c>
      <c r="T63" s="21"/>
      <c r="U63" s="16"/>
      <c r="V63" s="23"/>
      <c r="W63" s="21"/>
      <c r="X63" s="22"/>
      <c r="Y63" s="23"/>
      <c r="Z63" s="21"/>
      <c r="AA63" s="16"/>
      <c r="AB63" s="23"/>
      <c r="AC63" s="21"/>
      <c r="AD63" s="22"/>
      <c r="AE63" s="23"/>
      <c r="AF63" s="21">
        <f>16.33</f>
        <v>16.329999999999998</v>
      </c>
      <c r="AG63" s="16"/>
      <c r="AH63" s="23">
        <f>(AF63)-(AG63)</f>
        <v>16.329999999999998</v>
      </c>
      <c r="AI63" s="21"/>
      <c r="AJ63" s="22"/>
      <c r="AK63" s="23"/>
      <c r="AL63" s="21">
        <f>(AF63)+(AI63)</f>
        <v>16.329999999999998</v>
      </c>
      <c r="AM63" s="16"/>
      <c r="AN63" s="23">
        <f>(AL63)-(AM63)</f>
        <v>16.329999999999998</v>
      </c>
      <c r="AO63" s="21"/>
      <c r="AP63" s="22">
        <f>100</f>
        <v>100</v>
      </c>
      <c r="AQ63" s="23">
        <f>(AO63)-(AP63)</f>
        <v>-100</v>
      </c>
      <c r="AR63" s="21">
        <f>234.28</f>
        <v>234.28</v>
      </c>
      <c r="AS63" s="16">
        <f>100</f>
        <v>100</v>
      </c>
      <c r="AT63" s="23">
        <f>(AR63)-(AS63)</f>
        <v>134.28</v>
      </c>
      <c r="AU63" s="21"/>
      <c r="AV63" s="22"/>
      <c r="AW63" s="23"/>
      <c r="AX63" s="21"/>
      <c r="AY63" s="16">
        <f>700</f>
        <v>700</v>
      </c>
      <c r="AZ63" s="23">
        <f>(AX63)-(AY63)</f>
        <v>-700</v>
      </c>
      <c r="BA63" s="21"/>
      <c r="BB63" s="22"/>
      <c r="BC63" s="23"/>
      <c r="BD63" s="21">
        <f>40</f>
        <v>40</v>
      </c>
      <c r="BE63" s="16"/>
      <c r="BF63" s="23">
        <f>(BD63)-(BE63)</f>
        <v>40</v>
      </c>
      <c r="BG63" s="21">
        <f>(((((((((B63)+(Q63))+(AC63))+(AL63))+(AO63))+(AR63))+(AU63))+(AX63))+(BA63))+(BD63)</f>
        <v>380.48</v>
      </c>
      <c r="BH63" s="22">
        <f>(((((((((C63)+(R63))+(AD63))+(AM63))+(AP63))+(AS63))+(AV63))+(AY63))+(BB63))+(BE63)</f>
        <v>900</v>
      </c>
      <c r="BI63" s="23">
        <f>(BG63)-(BH63)</f>
        <v>-519.52</v>
      </c>
      <c r="BJ63" s="21">
        <f>562.96</f>
        <v>562.96</v>
      </c>
      <c r="BK63" s="22">
        <f>400</f>
        <v>400</v>
      </c>
      <c r="BL63" s="23">
        <f>(BJ63)-(BK63)</f>
        <v>162.96000000000004</v>
      </c>
      <c r="BM63" s="19"/>
      <c r="BN63" s="16"/>
      <c r="BO63" s="23"/>
      <c r="BP63" s="21">
        <f>676.59</f>
        <v>676.59</v>
      </c>
      <c r="BQ63" s="22">
        <f>300</f>
        <v>300</v>
      </c>
      <c r="BR63" s="23">
        <f>(BP63)-(BQ63)</f>
        <v>376.59000000000003</v>
      </c>
      <c r="BS63" s="19"/>
      <c r="BT63" s="16"/>
      <c r="BU63" s="23"/>
      <c r="BV63" s="19"/>
      <c r="BW63" s="16"/>
      <c r="BX63" s="23"/>
      <c r="BY63" s="21">
        <f>65.4</f>
        <v>65.400000000000006</v>
      </c>
      <c r="BZ63" s="22">
        <f>70</f>
        <v>70</v>
      </c>
      <c r="CA63" s="23">
        <f>(BY63)-(BZ63)</f>
        <v>-4.5999999999999943</v>
      </c>
      <c r="CB63" s="21">
        <f>((((BM63)+(BP63))+(BS63))+(BV63))+(BY63)</f>
        <v>741.99</v>
      </c>
      <c r="CC63" s="22">
        <f>((((BN63)+(BQ63))+(BT63))+(BW63))+(BZ63)</f>
        <v>370</v>
      </c>
      <c r="CD63" s="23">
        <f>(CB63)-(CC63)</f>
        <v>371.99</v>
      </c>
      <c r="CE63" s="21">
        <f>((BG63)+(BJ63))+(CB63)</f>
        <v>1685.43</v>
      </c>
      <c r="CF63" s="22">
        <f>((BH63)+(BK63))+(CC63)</f>
        <v>1670</v>
      </c>
      <c r="CG63" s="23">
        <f t="shared" si="10"/>
        <v>15.430000000000064</v>
      </c>
    </row>
    <row r="64" spans="1:85" x14ac:dyDescent="0.2">
      <c r="A64" s="3" t="s">
        <v>61</v>
      </c>
      <c r="B64" s="21"/>
      <c r="C64" s="16"/>
      <c r="D64" s="23"/>
      <c r="E64" s="21"/>
      <c r="F64" s="22"/>
      <c r="G64" s="23"/>
      <c r="H64" s="21"/>
      <c r="I64" s="16"/>
      <c r="J64" s="23"/>
      <c r="K64" s="21"/>
      <c r="L64" s="16"/>
      <c r="M64" s="23"/>
      <c r="N64" s="21"/>
      <c r="O64" s="22"/>
      <c r="P64" s="23"/>
      <c r="Q64" s="21"/>
      <c r="R64" s="16"/>
      <c r="S64" s="23"/>
      <c r="T64" s="21"/>
      <c r="U64" s="16"/>
      <c r="V64" s="23"/>
      <c r="W64" s="21"/>
      <c r="X64" s="22"/>
      <c r="Y64" s="23"/>
      <c r="Z64" s="21"/>
      <c r="AA64" s="16"/>
      <c r="AB64" s="23"/>
      <c r="AC64" s="21"/>
      <c r="AD64" s="22"/>
      <c r="AE64" s="23"/>
      <c r="AF64" s="21"/>
      <c r="AG64" s="16"/>
      <c r="AH64" s="23"/>
      <c r="AI64" s="21"/>
      <c r="AJ64" s="22"/>
      <c r="AK64" s="23"/>
      <c r="AL64" s="21"/>
      <c r="AM64" s="16"/>
      <c r="AN64" s="23"/>
      <c r="AO64" s="21"/>
      <c r="AP64" s="22"/>
      <c r="AQ64" s="23"/>
      <c r="AR64" s="21"/>
      <c r="AS64" s="16"/>
      <c r="AT64" s="23"/>
      <c r="AU64" s="21"/>
      <c r="AV64" s="22"/>
      <c r="AW64" s="23"/>
      <c r="AX64" s="21"/>
      <c r="AY64" s="16"/>
      <c r="AZ64" s="23"/>
      <c r="BA64" s="21"/>
      <c r="BB64" s="22"/>
      <c r="BC64" s="23"/>
      <c r="BD64" s="21">
        <f>4.99</f>
        <v>4.99</v>
      </c>
      <c r="BE64" s="16"/>
      <c r="BF64" s="23">
        <f>(BD64)-(BE64)</f>
        <v>4.99</v>
      </c>
      <c r="BG64" s="21">
        <f>(((((((((B64)+(Q64))+(AC64))+(AL64))+(AO64))+(AR64))+(AU64))+(AX64))+(BA64))+(BD64)</f>
        <v>4.99</v>
      </c>
      <c r="BH64" s="22"/>
      <c r="BI64" s="23">
        <f>(BG64)-(BH64)</f>
        <v>4.99</v>
      </c>
      <c r="BJ64" s="19"/>
      <c r="BK64" s="16"/>
      <c r="BL64" s="23"/>
      <c r="BM64" s="19"/>
      <c r="BN64" s="16"/>
      <c r="BO64" s="23"/>
      <c r="BP64" s="19"/>
      <c r="BQ64" s="16"/>
      <c r="BR64" s="23"/>
      <c r="BS64" s="19"/>
      <c r="BT64" s="16"/>
      <c r="BU64" s="23"/>
      <c r="BV64" s="19"/>
      <c r="BW64" s="16"/>
      <c r="BX64" s="23"/>
      <c r="BY64" s="19"/>
      <c r="BZ64" s="16"/>
      <c r="CA64" s="23"/>
      <c r="CB64" s="21"/>
      <c r="CC64" s="22"/>
      <c r="CD64" s="23"/>
      <c r="CE64" s="21">
        <f>((BG64)+(BJ64))+(CB64)</f>
        <v>4.99</v>
      </c>
      <c r="CF64" s="22"/>
      <c r="CG64" s="23">
        <f t="shared" si="10"/>
        <v>4.99</v>
      </c>
    </row>
    <row r="65" spans="1:85" x14ac:dyDescent="0.2">
      <c r="A65" s="3" t="s">
        <v>60</v>
      </c>
      <c r="B65" s="19"/>
      <c r="C65" s="16"/>
      <c r="D65" s="23"/>
      <c r="E65" s="21">
        <f>448</f>
        <v>448</v>
      </c>
      <c r="F65" s="22">
        <f>216</f>
        <v>216</v>
      </c>
      <c r="G65" s="23">
        <f>(E65)-(F65)</f>
        <v>232</v>
      </c>
      <c r="H65" s="19">
        <f>8.71</f>
        <v>8.7100000000000009</v>
      </c>
      <c r="I65" s="16"/>
      <c r="J65" s="23">
        <f>(H65)-(I65)</f>
        <v>8.7100000000000009</v>
      </c>
      <c r="K65" s="19"/>
      <c r="L65" s="16"/>
      <c r="M65" s="23"/>
      <c r="N65" s="21"/>
      <c r="O65" s="22"/>
      <c r="P65" s="23"/>
      <c r="Q65" s="19">
        <f>(((E65)+(H65))+(K65))+(N65)</f>
        <v>456.71</v>
      </c>
      <c r="R65" s="16">
        <f>(((F65)+(I65))+(L65))+(O65)</f>
        <v>216</v>
      </c>
      <c r="S65" s="23">
        <f>(Q65)-(R65)</f>
        <v>240.70999999999998</v>
      </c>
      <c r="T65" s="19"/>
      <c r="U65" s="16"/>
      <c r="V65" s="23"/>
      <c r="W65" s="21">
        <f>2388</f>
        <v>2388</v>
      </c>
      <c r="X65" s="22"/>
      <c r="Y65" s="23">
        <f>(W65)-(X65)</f>
        <v>2388</v>
      </c>
      <c r="Z65" s="19"/>
      <c r="AA65" s="16"/>
      <c r="AB65" s="23"/>
      <c r="AC65" s="21">
        <f>((T65)+(W65))+(Z65)</f>
        <v>2388</v>
      </c>
      <c r="AD65" s="22"/>
      <c r="AE65" s="23">
        <f>(AC65)-(AD65)</f>
        <v>2388</v>
      </c>
      <c r="AF65" s="19"/>
      <c r="AG65" s="16"/>
      <c r="AH65" s="23"/>
      <c r="AI65" s="21"/>
      <c r="AJ65" s="22"/>
      <c r="AK65" s="23"/>
      <c r="AL65" s="19"/>
      <c r="AM65" s="16"/>
      <c r="AN65" s="23"/>
      <c r="AO65" s="21">
        <f>230.79</f>
        <v>230.79</v>
      </c>
      <c r="AP65" s="22"/>
      <c r="AQ65" s="23">
        <f>(AO65)-(AP65)</f>
        <v>230.79</v>
      </c>
      <c r="AR65" s="19"/>
      <c r="AS65" s="16"/>
      <c r="AT65" s="23"/>
      <c r="AU65" s="21"/>
      <c r="AV65" s="22"/>
      <c r="AW65" s="23"/>
      <c r="AX65" s="19"/>
      <c r="AY65" s="16">
        <f>36</f>
        <v>36</v>
      </c>
      <c r="AZ65" s="23">
        <f>(AX65)-(AY65)</f>
        <v>-36</v>
      </c>
      <c r="BA65" s="21"/>
      <c r="BB65" s="22"/>
      <c r="BC65" s="23"/>
      <c r="BD65" s="19"/>
      <c r="BE65" s="16"/>
      <c r="BF65" s="23"/>
      <c r="BG65" s="21">
        <f>(((((((((B65)+(Q65))+(AC65))+(AL65))+(AO65))+(AR65))+(AU65))+(AX65))+(BA65))+(BD65)</f>
        <v>3075.5</v>
      </c>
      <c r="BH65" s="22">
        <f>(((((((((C65)+(R65))+(AD65))+(AM65))+(AP65))+(AS65))+(AV65))+(AY65))+(BB65))+(BE65)</f>
        <v>252</v>
      </c>
      <c r="BI65" s="23">
        <f>(BG65)-(BH65)</f>
        <v>2823.5</v>
      </c>
      <c r="BJ65" s="21">
        <f>2765.75</f>
        <v>2765.75</v>
      </c>
      <c r="BK65" s="22">
        <f>1090</f>
        <v>1090</v>
      </c>
      <c r="BL65" s="23">
        <f>(BJ65)-(BK65)</f>
        <v>1675.75</v>
      </c>
      <c r="BM65" s="19"/>
      <c r="BN65" s="16"/>
      <c r="BO65" s="23"/>
      <c r="BP65" s="21">
        <f>31.34</f>
        <v>31.34</v>
      </c>
      <c r="BQ65" s="16"/>
      <c r="BR65" s="23">
        <f>(BP65)-(BQ65)</f>
        <v>31.34</v>
      </c>
      <c r="BS65" s="19"/>
      <c r="BT65" s="16"/>
      <c r="BU65" s="23"/>
      <c r="BV65" s="19"/>
      <c r="BW65" s="16"/>
      <c r="BX65" s="23"/>
      <c r="BY65" s="19"/>
      <c r="BZ65" s="16"/>
      <c r="CA65" s="23"/>
      <c r="CB65" s="21">
        <f>((((BM65)+(BP65))+(BS65))+(BV65))+(BY65)</f>
        <v>31.34</v>
      </c>
      <c r="CC65" s="22"/>
      <c r="CD65" s="23">
        <f>(CB65)-(CC65)</f>
        <v>31.34</v>
      </c>
      <c r="CE65" s="21">
        <f>((BG65)+(BJ65))+(CB65)</f>
        <v>5872.59</v>
      </c>
      <c r="CF65" s="22">
        <f>((BH65)+(BK65))+(CC65)</f>
        <v>1342</v>
      </c>
      <c r="CG65" s="23">
        <f t="shared" si="10"/>
        <v>4530.59</v>
      </c>
    </row>
    <row r="66" spans="1:85" x14ac:dyDescent="0.2">
      <c r="A66" s="3" t="s">
        <v>59</v>
      </c>
      <c r="B66" s="24">
        <f>(((((((B58)+(B59))+(B60))+(B61))+(B62))+(B63))+(B64))+(B65)</f>
        <v>0</v>
      </c>
      <c r="C66" s="6">
        <f>(((((((C58)+(C59))+(C60))+(C61))+(C62))+(C63))+(C64))+(C65)</f>
        <v>0</v>
      </c>
      <c r="D66" s="25">
        <f>(B66)-(C66)</f>
        <v>0</v>
      </c>
      <c r="E66" s="24">
        <f>(((((((E58)+(E59))+(E60))+(E61))+(E62))+(E63))+(E64))+(E65)</f>
        <v>517.99</v>
      </c>
      <c r="F66" s="6">
        <f>(((((((F58)+(F59))+(F60))+(F61))+(F62))+(F63))+(F64))+(F65)</f>
        <v>216</v>
      </c>
      <c r="G66" s="25">
        <f>(E66)-(F66)</f>
        <v>301.99</v>
      </c>
      <c r="H66" s="24">
        <f>(((((((H58)+(H59))+(H60))+(H61))+(H62))+(H63))+(H64))+(H65)</f>
        <v>257.94</v>
      </c>
      <c r="I66" s="6">
        <f>(((((((I58)+(I59))+(I60))+(I61))+(I62))+(I63))+(I64))+(I65)</f>
        <v>0</v>
      </c>
      <c r="J66" s="25">
        <f>(H66)-(I66)</f>
        <v>257.94</v>
      </c>
      <c r="K66" s="24">
        <f>(((((((K58)+(K59))+(K60))+(K61))+(K62))+(K63))+(K64))+(K65)</f>
        <v>0</v>
      </c>
      <c r="L66" s="6">
        <f>(((((((L58)+(L59))+(L60))+(L61))+(L62))+(L63))+(L64))+(L65)</f>
        <v>0</v>
      </c>
      <c r="M66" s="25">
        <f>(K66)-(L66)</f>
        <v>0</v>
      </c>
      <c r="N66" s="24">
        <f>(((((((N58)+(N59))+(N60))+(N61))+(N62))+(N63))+(N64))+(N65)</f>
        <v>0</v>
      </c>
      <c r="O66" s="6">
        <f>(((((((O58)+(O59))+(O60))+(O61))+(O62))+(O63))+(O64))+(O65)</f>
        <v>0</v>
      </c>
      <c r="P66" s="25">
        <f>(N66)-(O66)</f>
        <v>0</v>
      </c>
      <c r="Q66" s="24">
        <f>(((E66)+(H66))+(K66))+(N66)</f>
        <v>775.93000000000006</v>
      </c>
      <c r="R66" s="6">
        <f>(((F66)+(I66))+(L66))+(O66)</f>
        <v>216</v>
      </c>
      <c r="S66" s="25">
        <f>(Q66)-(R66)</f>
        <v>559.93000000000006</v>
      </c>
      <c r="T66" s="24">
        <f>(((((((T58)+(T59))+(T60))+(T61))+(T62))+(T63))+(T64))+(T65)</f>
        <v>0</v>
      </c>
      <c r="U66" s="6">
        <f>(((((((U58)+(U59))+(U60))+(U61))+(U62))+(U63))+(U64))+(U65)</f>
        <v>0</v>
      </c>
      <c r="V66" s="25">
        <f>(T66)-(U66)</f>
        <v>0</v>
      </c>
      <c r="W66" s="24">
        <f>(((((((W58)+(W59))+(W60))+(W61))+(W62))+(W63))+(W64))+(W65)</f>
        <v>2388</v>
      </c>
      <c r="X66" s="6">
        <f>(((((((X58)+(X59))+(X60))+(X61))+(X62))+(X63))+(X64))+(X65)</f>
        <v>500</v>
      </c>
      <c r="Y66" s="25">
        <f>(W66)-(X66)</f>
        <v>1888</v>
      </c>
      <c r="Z66" s="24">
        <f>(((((((Z58)+(Z59))+(Z60))+(Z61))+(Z62))+(Z63))+(Z64))+(Z65)</f>
        <v>0</v>
      </c>
      <c r="AA66" s="6">
        <f>(((((((AA58)+(AA59))+(AA60))+(AA61))+(AA62))+(AA63))+(AA64))+(AA65)</f>
        <v>0</v>
      </c>
      <c r="AB66" s="25">
        <f>(Z66)-(AA66)</f>
        <v>0</v>
      </c>
      <c r="AC66" s="24">
        <f>((T66)+(W66))+(Z66)</f>
        <v>2388</v>
      </c>
      <c r="AD66" s="6">
        <f>((U66)+(X66))+(AA66)</f>
        <v>500</v>
      </c>
      <c r="AE66" s="25">
        <f>(AC66)-(AD66)</f>
        <v>1888</v>
      </c>
      <c r="AF66" s="24">
        <f>(((((((AF58)+(AF59))+(AF60))+(AF61))+(AF62))+(AF63))+(AF64))+(AF65)</f>
        <v>16.329999999999998</v>
      </c>
      <c r="AG66" s="6">
        <f>(((((((AG58)+(AG59))+(AG60))+(AG61))+(AG62))+(AG63))+(AG64))+(AG65)</f>
        <v>0</v>
      </c>
      <c r="AH66" s="25">
        <f>(AF66)-(AG66)</f>
        <v>16.329999999999998</v>
      </c>
      <c r="AI66" s="24">
        <f>(((((((AI58)+(AI59))+(AI60))+(AI61))+(AI62))+(AI63))+(AI64))+(AI65)</f>
        <v>0</v>
      </c>
      <c r="AJ66" s="6">
        <f>(((((((AJ58)+(AJ59))+(AJ60))+(AJ61))+(AJ62))+(AJ63))+(AJ64))+(AJ65)</f>
        <v>0</v>
      </c>
      <c r="AK66" s="25">
        <f>(AI66)-(AJ66)</f>
        <v>0</v>
      </c>
      <c r="AL66" s="24">
        <f>(AF66)+(AI66)</f>
        <v>16.329999999999998</v>
      </c>
      <c r="AM66" s="6">
        <f>(AG66)+(AJ66)</f>
        <v>0</v>
      </c>
      <c r="AN66" s="25">
        <f>(AL66)-(AM66)</f>
        <v>16.329999999999998</v>
      </c>
      <c r="AO66" s="24">
        <f>(((((((AO58)+(AO59))+(AO60))+(AO61))+(AO62))+(AO63))+(AO64))+(AO65)</f>
        <v>230.79</v>
      </c>
      <c r="AP66" s="6">
        <f>(((((((AP58)+(AP59))+(AP60))+(AP61))+(AP62))+(AP63))+(AP64))+(AP65)</f>
        <v>200</v>
      </c>
      <c r="AQ66" s="25">
        <f>(AO66)-(AP66)</f>
        <v>30.789999999999992</v>
      </c>
      <c r="AR66" s="24">
        <f>(((((((AR58)+(AR59))+(AR60))+(AR61))+(AR62))+(AR63))+(AR64))+(AR65)</f>
        <v>631.70000000000005</v>
      </c>
      <c r="AS66" s="6">
        <f>(((((((AS58)+(AS59))+(AS60))+(AS61))+(AS62))+(AS63))+(AS64))+(AS65)</f>
        <v>100</v>
      </c>
      <c r="AT66" s="25">
        <f>(AR66)-(AS66)</f>
        <v>531.70000000000005</v>
      </c>
      <c r="AU66" s="24">
        <f>(((((((AU58)+(AU59))+(AU60))+(AU61))+(AU62))+(AU63))+(AU64))+(AU65)</f>
        <v>96.85</v>
      </c>
      <c r="AV66" s="6">
        <f>(((((((AV58)+(AV59))+(AV60))+(AV61))+(AV62))+(AV63))+(AV64))+(AV65)</f>
        <v>100</v>
      </c>
      <c r="AW66" s="25">
        <f>(AU66)-(AV66)</f>
        <v>-3.1500000000000057</v>
      </c>
      <c r="AX66" s="24">
        <f>(((((((AX58)+(AX59))+(AX60))+(AX61))+(AX62))+(AX63))+(AX64))+(AX65)</f>
        <v>0</v>
      </c>
      <c r="AY66" s="6">
        <f>(((((((AY58)+(AY59))+(AY60))+(AY61))+(AY62))+(AY63))+(AY64))+(AY65)</f>
        <v>936</v>
      </c>
      <c r="AZ66" s="25">
        <f>(AX66)-(AY66)</f>
        <v>-936</v>
      </c>
      <c r="BA66" s="24">
        <f>(((((((BA58)+(BA59))+(BA60))+(BA61))+(BA62))+(BA63))+(BA64))+(BA65)</f>
        <v>0</v>
      </c>
      <c r="BB66" s="6">
        <f>(((((((BB58)+(BB59))+(BB60))+(BB61))+(BB62))+(BB63))+(BB64))+(BB65)</f>
        <v>0</v>
      </c>
      <c r="BC66" s="25">
        <f>(BA66)-(BB66)</f>
        <v>0</v>
      </c>
      <c r="BD66" s="24">
        <f>(((((((BD58)+(BD59))+(BD60))+(BD61))+(BD62))+(BD63))+(BD64))+(BD65)</f>
        <v>44.99</v>
      </c>
      <c r="BE66" s="6">
        <f>(((((((BE58)+(BE59))+(BE60))+(BE61))+(BE62))+(BE63))+(BE64))+(BE65)</f>
        <v>0</v>
      </c>
      <c r="BF66" s="25">
        <f>(BD66)-(BE66)</f>
        <v>44.99</v>
      </c>
      <c r="BG66" s="24">
        <f>(((((((((B66)+(Q66))+(AC66))+(AL66))+(AO66))+(AR66))+(AU66))+(AX66))+(BA66))+(BD66)</f>
        <v>4184.59</v>
      </c>
      <c r="BH66" s="6">
        <f>(((((((((C66)+(R66))+(AD66))+(AM66))+(AP66))+(AS66))+(AV66))+(AY66))+(BB66))+(BE66)</f>
        <v>2052</v>
      </c>
      <c r="BI66" s="25">
        <f>(BG66)-(BH66)</f>
        <v>2132.59</v>
      </c>
      <c r="BJ66" s="24">
        <f>(((((((BJ58)+(BJ59))+(BJ60))+(BJ61))+(BJ62))+(BJ63))+(BJ64))+(BJ65)</f>
        <v>5019.37</v>
      </c>
      <c r="BK66" s="6">
        <f>(((((((BK58)+(BK59))+(BK60))+(BK61))+(BK62))+(BK63))+(BK64))+(BK65)</f>
        <v>2390</v>
      </c>
      <c r="BL66" s="25">
        <f>(BJ66)-(BK66)</f>
        <v>2629.37</v>
      </c>
      <c r="BM66" s="24">
        <f>(((((((BM58)+(BM59))+(BM60))+(BM61))+(BM62))+(BM63))+(BM64))+(BM65)</f>
        <v>0</v>
      </c>
      <c r="BN66" s="6">
        <f>(((((((BN58)+(BN59))+(BN60))+(BN61))+(BN62))+(BN63))+(BN64))+(BN65)</f>
        <v>0</v>
      </c>
      <c r="BO66" s="25">
        <f>(BM66)-(BN66)</f>
        <v>0</v>
      </c>
      <c r="BP66" s="24">
        <f>(((((((BP58)+(BP59))+(BP60))+(BP61))+(BP62))+(BP63))+(BP64))+(BP65)</f>
        <v>3174.13</v>
      </c>
      <c r="BQ66" s="6">
        <f>(((((((BQ58)+(BQ59))+(BQ60))+(BQ61))+(BQ62))+(BQ63))+(BQ64))+(BQ65)</f>
        <v>3360</v>
      </c>
      <c r="BR66" s="25">
        <f>(BP66)-(BQ66)</f>
        <v>-185.86999999999989</v>
      </c>
      <c r="BS66" s="24">
        <f>(((((((BS58)+(BS59))+(BS60))+(BS61))+(BS62))+(BS63))+(BS64))+(BS65)</f>
        <v>0</v>
      </c>
      <c r="BT66" s="6">
        <f>(((((((BT58)+(BT59))+(BT60))+(BT61))+(BT62))+(BT63))+(BT64))+(BT65)</f>
        <v>0</v>
      </c>
      <c r="BU66" s="25">
        <f>(BS66)-(BT66)</f>
        <v>0</v>
      </c>
      <c r="BV66" s="24">
        <f>(((((((BV58)+(BV59))+(BV60))+(BV61))+(BV62))+(BV63))+(BV64))+(BV65)</f>
        <v>13.92</v>
      </c>
      <c r="BW66" s="6">
        <f>(((((((BW58)+(BW59))+(BW60))+(BW61))+(BW62))+(BW63))+(BW64))+(BW65)</f>
        <v>0</v>
      </c>
      <c r="BX66" s="25">
        <f>(BV66)-(BW66)</f>
        <v>13.92</v>
      </c>
      <c r="BY66" s="24">
        <f>(((((((BY58)+(BY59))+(BY60))+(BY61))+(BY62))+(BY63))+(BY64))+(BY65)</f>
        <v>217.45000000000002</v>
      </c>
      <c r="BZ66" s="6">
        <f>(((((((BZ58)+(BZ59))+(BZ60))+(BZ61))+(BZ62))+(BZ63))+(BZ64))+(BZ65)</f>
        <v>220</v>
      </c>
      <c r="CA66" s="25">
        <f>(BY66)-(BZ66)</f>
        <v>-2.5499999999999829</v>
      </c>
      <c r="CB66" s="24">
        <f>((((BM66)+(BP66))+(BS66))+(BV66))+(BY66)</f>
        <v>3405.5</v>
      </c>
      <c r="CC66" s="6">
        <f>((((BN66)+(BQ66))+(BT66))+(BW66))+(BZ66)</f>
        <v>3580</v>
      </c>
      <c r="CD66" s="25">
        <f>(CB66)-(CC66)</f>
        <v>-174.5</v>
      </c>
      <c r="CE66" s="24">
        <f>((BG66)+(BJ66))+(CB66)</f>
        <v>12609.46</v>
      </c>
      <c r="CF66" s="6">
        <f>((BH66)+(BK66))+(CC66)</f>
        <v>8022</v>
      </c>
      <c r="CG66" s="25">
        <f t="shared" si="10"/>
        <v>4587.4599999999991</v>
      </c>
    </row>
    <row r="67" spans="1:85" x14ac:dyDescent="0.2">
      <c r="A67" s="3"/>
      <c r="B67" s="26"/>
      <c r="C67" s="9"/>
      <c r="D67" s="27"/>
      <c r="E67" s="26"/>
      <c r="F67" s="9"/>
      <c r="G67" s="27"/>
      <c r="H67" s="26"/>
      <c r="I67" s="9"/>
      <c r="J67" s="27"/>
      <c r="K67" s="26"/>
      <c r="L67" s="9"/>
      <c r="M67" s="27"/>
      <c r="N67" s="26"/>
      <c r="O67" s="9"/>
      <c r="P67" s="27"/>
      <c r="Q67" s="26"/>
      <c r="R67" s="9"/>
      <c r="S67" s="27"/>
      <c r="T67" s="26"/>
      <c r="U67" s="9"/>
      <c r="V67" s="27"/>
      <c r="W67" s="26"/>
      <c r="X67" s="9"/>
      <c r="Y67" s="27"/>
      <c r="Z67" s="26"/>
      <c r="AA67" s="9"/>
      <c r="AB67" s="27"/>
      <c r="AC67" s="26"/>
      <c r="AD67" s="9"/>
      <c r="AE67" s="27"/>
      <c r="AF67" s="26"/>
      <c r="AG67" s="9"/>
      <c r="AH67" s="27"/>
      <c r="AI67" s="26"/>
      <c r="AJ67" s="9"/>
      <c r="AK67" s="27"/>
      <c r="AL67" s="26"/>
      <c r="AM67" s="9"/>
      <c r="AN67" s="27"/>
      <c r="AO67" s="26"/>
      <c r="AP67" s="9"/>
      <c r="AQ67" s="27"/>
      <c r="AR67" s="26"/>
      <c r="AS67" s="9"/>
      <c r="AT67" s="27"/>
      <c r="AU67" s="26"/>
      <c r="AV67" s="9"/>
      <c r="AW67" s="27"/>
      <c r="AX67" s="26"/>
      <c r="AY67" s="9"/>
      <c r="AZ67" s="27"/>
      <c r="BA67" s="26"/>
      <c r="BB67" s="9"/>
      <c r="BC67" s="27"/>
      <c r="BD67" s="26"/>
      <c r="BE67" s="9"/>
      <c r="BF67" s="27"/>
      <c r="BG67" s="26"/>
      <c r="BH67" s="9"/>
      <c r="BI67" s="27"/>
      <c r="BJ67" s="26"/>
      <c r="BK67" s="9"/>
      <c r="BL67" s="27"/>
      <c r="BM67" s="26"/>
      <c r="BN67" s="9"/>
      <c r="BO67" s="27"/>
      <c r="BP67" s="26"/>
      <c r="BQ67" s="9"/>
      <c r="BR67" s="27"/>
      <c r="BS67" s="26"/>
      <c r="BT67" s="9"/>
      <c r="BU67" s="27"/>
      <c r="BV67" s="26"/>
      <c r="BW67" s="9"/>
      <c r="BX67" s="27"/>
      <c r="BY67" s="26"/>
      <c r="BZ67" s="9"/>
      <c r="CA67" s="27"/>
      <c r="CB67" s="26"/>
      <c r="CC67" s="9"/>
      <c r="CD67" s="27"/>
      <c r="CE67" s="26"/>
      <c r="CF67" s="9"/>
      <c r="CG67" s="27"/>
    </row>
    <row r="68" spans="1:85" x14ac:dyDescent="0.2">
      <c r="A68" s="3" t="s">
        <v>58</v>
      </c>
      <c r="B68" s="19"/>
      <c r="C68" s="16"/>
      <c r="D68" s="23"/>
      <c r="E68" s="21"/>
      <c r="F68" s="22"/>
      <c r="G68" s="23"/>
      <c r="H68" s="19"/>
      <c r="I68" s="16"/>
      <c r="J68" s="23"/>
      <c r="K68" s="19"/>
      <c r="L68" s="16"/>
      <c r="M68" s="23"/>
      <c r="N68" s="21"/>
      <c r="O68" s="22"/>
      <c r="P68" s="23"/>
      <c r="Q68" s="19"/>
      <c r="R68" s="16"/>
      <c r="S68" s="23"/>
      <c r="T68" s="19"/>
      <c r="U68" s="16"/>
      <c r="V68" s="23"/>
      <c r="W68" s="21"/>
      <c r="X68" s="22"/>
      <c r="Y68" s="23"/>
      <c r="Z68" s="19"/>
      <c r="AA68" s="16"/>
      <c r="AB68" s="23"/>
      <c r="AC68" s="21"/>
      <c r="AD68" s="22"/>
      <c r="AE68" s="23"/>
      <c r="AF68" s="19"/>
      <c r="AG68" s="16"/>
      <c r="AH68" s="23"/>
      <c r="AI68" s="21"/>
      <c r="AJ68" s="22"/>
      <c r="AK68" s="23"/>
      <c r="AL68" s="19"/>
      <c r="AM68" s="16"/>
      <c r="AN68" s="23"/>
      <c r="AO68" s="21"/>
      <c r="AP68" s="22"/>
      <c r="AQ68" s="23"/>
      <c r="AR68" s="19"/>
      <c r="AS68" s="16"/>
      <c r="AT68" s="23"/>
      <c r="AU68" s="21"/>
      <c r="AV68" s="22"/>
      <c r="AW68" s="23"/>
      <c r="AX68" s="19"/>
      <c r="AY68" s="16"/>
      <c r="AZ68" s="23"/>
      <c r="BA68" s="21"/>
      <c r="BB68" s="22"/>
      <c r="BC68" s="23"/>
      <c r="BD68" s="19"/>
      <c r="BE68" s="16"/>
      <c r="BF68" s="23"/>
      <c r="BG68" s="21"/>
      <c r="BH68" s="22"/>
      <c r="BI68" s="23"/>
      <c r="BJ68" s="19"/>
      <c r="BK68" s="16"/>
      <c r="BL68" s="23"/>
      <c r="BM68" s="19"/>
      <c r="BN68" s="16"/>
      <c r="BO68" s="23"/>
      <c r="BP68" s="19"/>
      <c r="BQ68" s="16"/>
      <c r="BR68" s="23"/>
      <c r="BS68" s="19"/>
      <c r="BT68" s="16"/>
      <c r="BU68" s="23"/>
      <c r="BV68" s="19"/>
      <c r="BW68" s="16"/>
      <c r="BX68" s="23"/>
      <c r="BY68" s="19"/>
      <c r="BZ68" s="16"/>
      <c r="CA68" s="23"/>
      <c r="CB68" s="21"/>
      <c r="CC68" s="22"/>
      <c r="CD68" s="23"/>
      <c r="CE68" s="21"/>
      <c r="CF68" s="22"/>
      <c r="CG68" s="23"/>
    </row>
    <row r="69" spans="1:85" x14ac:dyDescent="0.2">
      <c r="A69" s="3" t="s">
        <v>57</v>
      </c>
      <c r="B69" s="19"/>
      <c r="C69" s="16"/>
      <c r="D69" s="23"/>
      <c r="E69" s="21"/>
      <c r="F69" s="22"/>
      <c r="G69" s="23"/>
      <c r="H69" s="19"/>
      <c r="I69" s="16"/>
      <c r="J69" s="23"/>
      <c r="K69" s="19"/>
      <c r="L69" s="16"/>
      <c r="M69" s="23"/>
      <c r="N69" s="21"/>
      <c r="O69" s="22"/>
      <c r="P69" s="23"/>
      <c r="Q69" s="19"/>
      <c r="R69" s="16"/>
      <c r="S69" s="23"/>
      <c r="T69" s="19"/>
      <c r="U69" s="16"/>
      <c r="V69" s="23"/>
      <c r="W69" s="21"/>
      <c r="X69" s="22"/>
      <c r="Y69" s="23"/>
      <c r="Z69" s="19"/>
      <c r="AA69" s="16"/>
      <c r="AB69" s="23"/>
      <c r="AC69" s="21"/>
      <c r="AD69" s="22"/>
      <c r="AE69" s="23"/>
      <c r="AF69" s="19"/>
      <c r="AG69" s="16"/>
      <c r="AH69" s="23"/>
      <c r="AI69" s="21"/>
      <c r="AJ69" s="22"/>
      <c r="AK69" s="23"/>
      <c r="AL69" s="19"/>
      <c r="AM69" s="16"/>
      <c r="AN69" s="23"/>
      <c r="AO69" s="21"/>
      <c r="AP69" s="22"/>
      <c r="AQ69" s="23"/>
      <c r="AR69" s="19"/>
      <c r="AS69" s="16"/>
      <c r="AT69" s="23"/>
      <c r="AU69" s="21"/>
      <c r="AV69" s="22"/>
      <c r="AW69" s="23"/>
      <c r="AX69" s="19"/>
      <c r="AY69" s="16"/>
      <c r="AZ69" s="23"/>
      <c r="BA69" s="21"/>
      <c r="BB69" s="22"/>
      <c r="BC69" s="23"/>
      <c r="BD69" s="19"/>
      <c r="BE69" s="16"/>
      <c r="BF69" s="23"/>
      <c r="BG69" s="21"/>
      <c r="BH69" s="22"/>
      <c r="BI69" s="23"/>
      <c r="BJ69" s="19"/>
      <c r="BK69" s="16"/>
      <c r="BL69" s="23"/>
      <c r="BM69" s="19"/>
      <c r="BN69" s="16"/>
      <c r="BO69" s="23"/>
      <c r="BP69" s="21">
        <f>4217.5</f>
        <v>4217.5</v>
      </c>
      <c r="BQ69" s="22">
        <f>4000</f>
        <v>4000</v>
      </c>
      <c r="BR69" s="23">
        <f>(BP69)-(BQ69)</f>
        <v>217.5</v>
      </c>
      <c r="BS69" s="19"/>
      <c r="BT69" s="16"/>
      <c r="BU69" s="23"/>
      <c r="BV69" s="19"/>
      <c r="BW69" s="16"/>
      <c r="BX69" s="23"/>
      <c r="BY69" s="19"/>
      <c r="BZ69" s="16"/>
      <c r="CA69" s="23"/>
      <c r="CB69" s="21">
        <f>((((BM69)+(BP69))+(BS69))+(BV69))+(BY69)</f>
        <v>4217.5</v>
      </c>
      <c r="CC69" s="22">
        <f>((((BN69)+(BQ69))+(BT69))+(BW69))+(BZ69)</f>
        <v>4000</v>
      </c>
      <c r="CD69" s="23">
        <f>(CB69)-(CC69)</f>
        <v>217.5</v>
      </c>
      <c r="CE69" s="21">
        <f>((BG69)+(BJ69))+(CB69)</f>
        <v>4217.5</v>
      </c>
      <c r="CF69" s="22">
        <f>((BH69)+(BK69))+(CC69)</f>
        <v>4000</v>
      </c>
      <c r="CG69" s="23">
        <f>(CE69)-(CF69)</f>
        <v>217.5</v>
      </c>
    </row>
    <row r="70" spans="1:85" x14ac:dyDescent="0.2">
      <c r="A70" s="3" t="s">
        <v>56</v>
      </c>
      <c r="B70" s="24">
        <f>(B68)+(B69)</f>
        <v>0</v>
      </c>
      <c r="C70" s="6">
        <f>(C68)+(C69)</f>
        <v>0</v>
      </c>
      <c r="D70" s="25">
        <f>(B70)-(C70)</f>
        <v>0</v>
      </c>
      <c r="E70" s="24">
        <f>(E68)+(E69)</f>
        <v>0</v>
      </c>
      <c r="F70" s="6">
        <f>(F68)+(F69)</f>
        <v>0</v>
      </c>
      <c r="G70" s="25">
        <f>(E70)-(F70)</f>
        <v>0</v>
      </c>
      <c r="H70" s="24">
        <f>(H68)+(H69)</f>
        <v>0</v>
      </c>
      <c r="I70" s="6">
        <f>(I68)+(I69)</f>
        <v>0</v>
      </c>
      <c r="J70" s="25">
        <f>(H70)-(I70)</f>
        <v>0</v>
      </c>
      <c r="K70" s="24">
        <f>(K68)+(K69)</f>
        <v>0</v>
      </c>
      <c r="L70" s="6">
        <f>(L68)+(L69)</f>
        <v>0</v>
      </c>
      <c r="M70" s="25">
        <f>(K70)-(L70)</f>
        <v>0</v>
      </c>
      <c r="N70" s="24">
        <f>(N68)+(N69)</f>
        <v>0</v>
      </c>
      <c r="O70" s="6">
        <f>(O68)+(O69)</f>
        <v>0</v>
      </c>
      <c r="P70" s="25">
        <f>(N70)-(O70)</f>
        <v>0</v>
      </c>
      <c r="Q70" s="24">
        <f>(((E70)+(H70))+(K70))+(N70)</f>
        <v>0</v>
      </c>
      <c r="R70" s="6">
        <f>(((F70)+(I70))+(L70))+(O70)</f>
        <v>0</v>
      </c>
      <c r="S70" s="25">
        <f>(Q70)-(R70)</f>
        <v>0</v>
      </c>
      <c r="T70" s="24">
        <f>(T68)+(T69)</f>
        <v>0</v>
      </c>
      <c r="U70" s="6">
        <f>(U68)+(U69)</f>
        <v>0</v>
      </c>
      <c r="V70" s="25">
        <f>(T70)-(U70)</f>
        <v>0</v>
      </c>
      <c r="W70" s="24">
        <f>(W68)+(W69)</f>
        <v>0</v>
      </c>
      <c r="X70" s="6">
        <f>(X68)+(X69)</f>
        <v>0</v>
      </c>
      <c r="Y70" s="25">
        <f>(W70)-(X70)</f>
        <v>0</v>
      </c>
      <c r="Z70" s="24">
        <f>(Z68)+(Z69)</f>
        <v>0</v>
      </c>
      <c r="AA70" s="6">
        <f>(AA68)+(AA69)</f>
        <v>0</v>
      </c>
      <c r="AB70" s="25">
        <f>(Z70)-(AA70)</f>
        <v>0</v>
      </c>
      <c r="AC70" s="24">
        <f>((T70)+(W70))+(Z70)</f>
        <v>0</v>
      </c>
      <c r="AD70" s="6">
        <f>((U70)+(X70))+(AA70)</f>
        <v>0</v>
      </c>
      <c r="AE70" s="25">
        <f>(AC70)-(AD70)</f>
        <v>0</v>
      </c>
      <c r="AF70" s="24">
        <f>(AF68)+(AF69)</f>
        <v>0</v>
      </c>
      <c r="AG70" s="6">
        <f>(AG68)+(AG69)</f>
        <v>0</v>
      </c>
      <c r="AH70" s="25">
        <f>(AF70)-(AG70)</f>
        <v>0</v>
      </c>
      <c r="AI70" s="24">
        <f>(AI68)+(AI69)</f>
        <v>0</v>
      </c>
      <c r="AJ70" s="6">
        <f>(AJ68)+(AJ69)</f>
        <v>0</v>
      </c>
      <c r="AK70" s="25">
        <f>(AI70)-(AJ70)</f>
        <v>0</v>
      </c>
      <c r="AL70" s="24">
        <f>(AF70)+(AI70)</f>
        <v>0</v>
      </c>
      <c r="AM70" s="6">
        <f>(AG70)+(AJ70)</f>
        <v>0</v>
      </c>
      <c r="AN70" s="25">
        <f>(AL70)-(AM70)</f>
        <v>0</v>
      </c>
      <c r="AO70" s="24">
        <f>(AO68)+(AO69)</f>
        <v>0</v>
      </c>
      <c r="AP70" s="6">
        <f>(AP68)+(AP69)</f>
        <v>0</v>
      </c>
      <c r="AQ70" s="25">
        <f>(AO70)-(AP70)</f>
        <v>0</v>
      </c>
      <c r="AR70" s="24">
        <f>(AR68)+(AR69)</f>
        <v>0</v>
      </c>
      <c r="AS70" s="6">
        <f>(AS68)+(AS69)</f>
        <v>0</v>
      </c>
      <c r="AT70" s="25">
        <f>(AR70)-(AS70)</f>
        <v>0</v>
      </c>
      <c r="AU70" s="24">
        <f>(AU68)+(AU69)</f>
        <v>0</v>
      </c>
      <c r="AV70" s="6">
        <f>(AV68)+(AV69)</f>
        <v>0</v>
      </c>
      <c r="AW70" s="25">
        <f>(AU70)-(AV70)</f>
        <v>0</v>
      </c>
      <c r="AX70" s="24">
        <f>(AX68)+(AX69)</f>
        <v>0</v>
      </c>
      <c r="AY70" s="6">
        <f>(AY68)+(AY69)</f>
        <v>0</v>
      </c>
      <c r="AZ70" s="25">
        <f>(AX70)-(AY70)</f>
        <v>0</v>
      </c>
      <c r="BA70" s="24">
        <f>(BA68)+(BA69)</f>
        <v>0</v>
      </c>
      <c r="BB70" s="6">
        <f>(BB68)+(BB69)</f>
        <v>0</v>
      </c>
      <c r="BC70" s="25">
        <f>(BA70)-(BB70)</f>
        <v>0</v>
      </c>
      <c r="BD70" s="24">
        <f>(BD68)+(BD69)</f>
        <v>0</v>
      </c>
      <c r="BE70" s="6">
        <f>(BE68)+(BE69)</f>
        <v>0</v>
      </c>
      <c r="BF70" s="25">
        <f>(BD70)-(BE70)</f>
        <v>0</v>
      </c>
      <c r="BG70" s="24">
        <f>(((((((((B70)+(Q70))+(AC70))+(AL70))+(AO70))+(AR70))+(AU70))+(AX70))+(BA70))+(BD70)</f>
        <v>0</v>
      </c>
      <c r="BH70" s="6">
        <f>(((((((((C70)+(R70))+(AD70))+(AM70))+(AP70))+(AS70))+(AV70))+(AY70))+(BB70))+(BE70)</f>
        <v>0</v>
      </c>
      <c r="BI70" s="25">
        <f>(BG70)-(BH70)</f>
        <v>0</v>
      </c>
      <c r="BJ70" s="24">
        <f>(BJ68)+(BJ69)</f>
        <v>0</v>
      </c>
      <c r="BK70" s="6">
        <f>(BK68)+(BK69)</f>
        <v>0</v>
      </c>
      <c r="BL70" s="25">
        <f>(BJ70)-(BK70)</f>
        <v>0</v>
      </c>
      <c r="BM70" s="24">
        <f>(BM68)+(BM69)</f>
        <v>0</v>
      </c>
      <c r="BN70" s="6">
        <f>(BN68)+(BN69)</f>
        <v>0</v>
      </c>
      <c r="BO70" s="25">
        <f>(BM70)-(BN70)</f>
        <v>0</v>
      </c>
      <c r="BP70" s="24">
        <f>(BP68)+(BP69)</f>
        <v>4217.5</v>
      </c>
      <c r="BQ70" s="6">
        <f>(BQ68)+(BQ69)</f>
        <v>4000</v>
      </c>
      <c r="BR70" s="25">
        <f>(BP70)-(BQ70)</f>
        <v>217.5</v>
      </c>
      <c r="BS70" s="24">
        <f>(BS68)+(BS69)</f>
        <v>0</v>
      </c>
      <c r="BT70" s="6">
        <f>(BT68)+(BT69)</f>
        <v>0</v>
      </c>
      <c r="BU70" s="25">
        <f>(BS70)-(BT70)</f>
        <v>0</v>
      </c>
      <c r="BV70" s="24">
        <f>(BV68)+(BV69)</f>
        <v>0</v>
      </c>
      <c r="BW70" s="6">
        <f>(BW68)+(BW69)</f>
        <v>0</v>
      </c>
      <c r="BX70" s="25">
        <f>(BV70)-(BW70)</f>
        <v>0</v>
      </c>
      <c r="BY70" s="24">
        <f>(BY68)+(BY69)</f>
        <v>0</v>
      </c>
      <c r="BZ70" s="6">
        <f>(BZ68)+(BZ69)</f>
        <v>0</v>
      </c>
      <c r="CA70" s="25">
        <f>(BY70)-(BZ70)</f>
        <v>0</v>
      </c>
      <c r="CB70" s="24">
        <f>((((BM70)+(BP70))+(BS70))+(BV70))+(BY70)</f>
        <v>4217.5</v>
      </c>
      <c r="CC70" s="6">
        <f>((((BN70)+(BQ70))+(BT70))+(BW70))+(BZ70)</f>
        <v>4000</v>
      </c>
      <c r="CD70" s="25">
        <f>(CB70)-(CC70)</f>
        <v>217.5</v>
      </c>
      <c r="CE70" s="24">
        <f>((BG70)+(BJ70))+(CB70)</f>
        <v>4217.5</v>
      </c>
      <c r="CF70" s="6">
        <f>((BH70)+(BK70))+(CC70)</f>
        <v>4000</v>
      </c>
      <c r="CG70" s="25">
        <f>(CE70)-(CF70)</f>
        <v>217.5</v>
      </c>
    </row>
    <row r="71" spans="1:85" x14ac:dyDescent="0.2">
      <c r="A71" s="3"/>
      <c r="B71" s="26"/>
      <c r="C71" s="9"/>
      <c r="D71" s="27"/>
      <c r="E71" s="26"/>
      <c r="F71" s="9"/>
      <c r="G71" s="27"/>
      <c r="H71" s="26"/>
      <c r="I71" s="9"/>
      <c r="J71" s="27"/>
      <c r="K71" s="26"/>
      <c r="L71" s="9"/>
      <c r="M71" s="27"/>
      <c r="N71" s="26"/>
      <c r="O71" s="9"/>
      <c r="P71" s="27"/>
      <c r="Q71" s="26"/>
      <c r="R71" s="9"/>
      <c r="S71" s="27"/>
      <c r="T71" s="26"/>
      <c r="U71" s="9"/>
      <c r="V71" s="27"/>
      <c r="W71" s="26"/>
      <c r="X71" s="9"/>
      <c r="Y71" s="27"/>
      <c r="Z71" s="26"/>
      <c r="AA71" s="9"/>
      <c r="AB71" s="27"/>
      <c r="AC71" s="26"/>
      <c r="AD71" s="9"/>
      <c r="AE71" s="27"/>
      <c r="AF71" s="26"/>
      <c r="AG71" s="9"/>
      <c r="AH71" s="27"/>
      <c r="AI71" s="26"/>
      <c r="AJ71" s="9"/>
      <c r="AK71" s="27"/>
      <c r="AL71" s="26"/>
      <c r="AM71" s="9"/>
      <c r="AN71" s="27"/>
      <c r="AO71" s="26"/>
      <c r="AP71" s="9"/>
      <c r="AQ71" s="27"/>
      <c r="AR71" s="26"/>
      <c r="AS71" s="9"/>
      <c r="AT71" s="27"/>
      <c r="AU71" s="26"/>
      <c r="AV71" s="9"/>
      <c r="AW71" s="27"/>
      <c r="AX71" s="26"/>
      <c r="AY71" s="9"/>
      <c r="AZ71" s="27"/>
      <c r="BA71" s="26"/>
      <c r="BB71" s="9"/>
      <c r="BC71" s="27"/>
      <c r="BD71" s="26"/>
      <c r="BE71" s="9"/>
      <c r="BF71" s="27"/>
      <c r="BG71" s="26"/>
      <c r="BH71" s="9"/>
      <c r="BI71" s="27"/>
      <c r="BJ71" s="26"/>
      <c r="BK71" s="9"/>
      <c r="BL71" s="27"/>
      <c r="BM71" s="26"/>
      <c r="BN71" s="9"/>
      <c r="BO71" s="27"/>
      <c r="BP71" s="26"/>
      <c r="BQ71" s="9"/>
      <c r="BR71" s="27"/>
      <c r="BS71" s="26"/>
      <c r="BT71" s="9"/>
      <c r="BU71" s="27"/>
      <c r="BV71" s="26"/>
      <c r="BW71" s="9"/>
      <c r="BX71" s="27"/>
      <c r="BY71" s="26"/>
      <c r="BZ71" s="9"/>
      <c r="CA71" s="27"/>
      <c r="CB71" s="26"/>
      <c r="CC71" s="9"/>
      <c r="CD71" s="27"/>
      <c r="CE71" s="26"/>
      <c r="CF71" s="9"/>
      <c r="CG71" s="27"/>
    </row>
    <row r="72" spans="1:85" x14ac:dyDescent="0.2">
      <c r="A72" s="3" t="s">
        <v>55</v>
      </c>
      <c r="B72" s="19"/>
      <c r="C72" s="16"/>
      <c r="D72" s="23"/>
      <c r="E72" s="21"/>
      <c r="F72" s="22"/>
      <c r="G72" s="23"/>
      <c r="H72" s="19"/>
      <c r="I72" s="16"/>
      <c r="J72" s="23"/>
      <c r="K72" s="19"/>
      <c r="L72" s="16"/>
      <c r="M72" s="23"/>
      <c r="N72" s="21"/>
      <c r="O72" s="22"/>
      <c r="P72" s="23"/>
      <c r="Q72" s="19"/>
      <c r="R72" s="16"/>
      <c r="S72" s="23"/>
      <c r="T72" s="19"/>
      <c r="U72" s="16"/>
      <c r="V72" s="23"/>
      <c r="W72" s="21"/>
      <c r="X72" s="22"/>
      <c r="Y72" s="23"/>
      <c r="Z72" s="19"/>
      <c r="AA72" s="16"/>
      <c r="AB72" s="23"/>
      <c r="AC72" s="21"/>
      <c r="AD72" s="22"/>
      <c r="AE72" s="23"/>
      <c r="AF72" s="19">
        <f>8</f>
        <v>8</v>
      </c>
      <c r="AG72" s="16"/>
      <c r="AH72" s="23">
        <f>(AF72)-(AG72)</f>
        <v>8</v>
      </c>
      <c r="AI72" s="21"/>
      <c r="AJ72" s="22"/>
      <c r="AK72" s="23"/>
      <c r="AL72" s="19">
        <f>(AF72)+(AI72)</f>
        <v>8</v>
      </c>
      <c r="AM72" s="16"/>
      <c r="AN72" s="23">
        <f>(AL72)-(AM72)</f>
        <v>8</v>
      </c>
      <c r="AO72" s="21"/>
      <c r="AP72" s="22"/>
      <c r="AQ72" s="23"/>
      <c r="AR72" s="19"/>
      <c r="AS72" s="16">
        <f>2500</f>
        <v>2500</v>
      </c>
      <c r="AT72" s="23">
        <f>(AR72)-(AS72)</f>
        <v>-2500</v>
      </c>
      <c r="AU72" s="21"/>
      <c r="AV72" s="22"/>
      <c r="AW72" s="23"/>
      <c r="AX72" s="19"/>
      <c r="AY72" s="16">
        <f>4000</f>
        <v>4000</v>
      </c>
      <c r="AZ72" s="23">
        <f>(AX72)-(AY72)</f>
        <v>-4000</v>
      </c>
      <c r="BA72" s="21"/>
      <c r="BB72" s="22"/>
      <c r="BC72" s="23"/>
      <c r="BD72" s="19"/>
      <c r="BE72" s="16"/>
      <c r="BF72" s="23"/>
      <c r="BG72" s="21">
        <f t="shared" ref="BG72:BH78" si="11">(((((((((B72)+(Q72))+(AC72))+(AL72))+(AO72))+(AR72))+(AU72))+(AX72))+(BA72))+(BD72)</f>
        <v>8</v>
      </c>
      <c r="BH72" s="22">
        <f t="shared" si="11"/>
        <v>6500</v>
      </c>
      <c r="BI72" s="23">
        <f t="shared" ref="BI72:BI78" si="12">(BG72)-(BH72)</f>
        <v>-6492</v>
      </c>
      <c r="BJ72" s="19"/>
      <c r="BK72" s="16"/>
      <c r="BL72" s="23"/>
      <c r="BM72" s="19"/>
      <c r="BN72" s="16"/>
      <c r="BO72" s="23"/>
      <c r="BP72" s="19"/>
      <c r="BQ72" s="16"/>
      <c r="BR72" s="23"/>
      <c r="BS72" s="19"/>
      <c r="BT72" s="16"/>
      <c r="BU72" s="23"/>
      <c r="BV72" s="19"/>
      <c r="BW72" s="16"/>
      <c r="BX72" s="23"/>
      <c r="BY72" s="19"/>
      <c r="BZ72" s="16"/>
      <c r="CA72" s="23"/>
      <c r="CB72" s="21"/>
      <c r="CC72" s="22"/>
      <c r="CD72" s="23"/>
      <c r="CE72" s="21">
        <f t="shared" ref="CE72:CF78" si="13">((BG72)+(BJ72))+(CB72)</f>
        <v>8</v>
      </c>
      <c r="CF72" s="22">
        <f t="shared" si="13"/>
        <v>6500</v>
      </c>
      <c r="CG72" s="23">
        <f t="shared" ref="CG72:CG78" si="14">(CE72)-(CF72)</f>
        <v>-6492</v>
      </c>
    </row>
    <row r="73" spans="1:85" x14ac:dyDescent="0.2">
      <c r="A73" s="3" t="s">
        <v>54</v>
      </c>
      <c r="B73" s="21"/>
      <c r="C73" s="16"/>
      <c r="D73" s="23"/>
      <c r="E73" s="21">
        <f>128.13</f>
        <v>128.13</v>
      </c>
      <c r="F73" s="22"/>
      <c r="G73" s="23">
        <f>(E73)-(F73)</f>
        <v>128.13</v>
      </c>
      <c r="H73" s="21">
        <f>152.09</f>
        <v>152.09</v>
      </c>
      <c r="I73" s="16">
        <f>500</f>
        <v>500</v>
      </c>
      <c r="J73" s="23">
        <f t="shared" ref="J73:J78" si="15">(H73)-(I73)</f>
        <v>-347.90999999999997</v>
      </c>
      <c r="K73" s="21"/>
      <c r="L73" s="16"/>
      <c r="M73" s="23"/>
      <c r="N73" s="21"/>
      <c r="O73" s="22"/>
      <c r="P73" s="23"/>
      <c r="Q73" s="21">
        <f t="shared" ref="Q73:R76" si="16">(((E73)+(H73))+(K73))+(N73)</f>
        <v>280.22000000000003</v>
      </c>
      <c r="R73" s="16">
        <f t="shared" si="16"/>
        <v>500</v>
      </c>
      <c r="S73" s="23">
        <f t="shared" ref="S73:S78" si="17">(Q73)-(R73)</f>
        <v>-219.77999999999997</v>
      </c>
      <c r="T73" s="21"/>
      <c r="U73" s="16"/>
      <c r="V73" s="23"/>
      <c r="W73" s="21"/>
      <c r="X73" s="22"/>
      <c r="Y73" s="23"/>
      <c r="Z73" s="21"/>
      <c r="AA73" s="16"/>
      <c r="AB73" s="23"/>
      <c r="AC73" s="21"/>
      <c r="AD73" s="22"/>
      <c r="AE73" s="23"/>
      <c r="AF73" s="21">
        <f>450.4</f>
        <v>450.4</v>
      </c>
      <c r="AG73" s="16">
        <f>400</f>
        <v>400</v>
      </c>
      <c r="AH73" s="23">
        <f>(AF73)-(AG73)</f>
        <v>50.399999999999977</v>
      </c>
      <c r="AI73" s="21"/>
      <c r="AJ73" s="22"/>
      <c r="AK73" s="23"/>
      <c r="AL73" s="21">
        <f>(AF73)+(AI73)</f>
        <v>450.4</v>
      </c>
      <c r="AM73" s="16">
        <f>(AG73)+(AJ73)</f>
        <v>400</v>
      </c>
      <c r="AN73" s="23">
        <f>(AL73)-(AM73)</f>
        <v>50.399999999999977</v>
      </c>
      <c r="AO73" s="21">
        <f>665.02</f>
        <v>665.02</v>
      </c>
      <c r="AP73" s="22">
        <f>1200</f>
        <v>1200</v>
      </c>
      <c r="AQ73" s="23">
        <f t="shared" ref="AQ73:AQ78" si="18">(AO73)-(AP73)</f>
        <v>-534.98</v>
      </c>
      <c r="AR73" s="21">
        <f>1</f>
        <v>1</v>
      </c>
      <c r="AS73" s="16"/>
      <c r="AT73" s="23">
        <f>(AR73)-(AS73)</f>
        <v>1</v>
      </c>
      <c r="AU73" s="21">
        <f>97</f>
        <v>97</v>
      </c>
      <c r="AV73" s="22"/>
      <c r="AW73" s="23">
        <f t="shared" ref="AW73:AW78" si="19">(AU73)-(AV73)</f>
        <v>97</v>
      </c>
      <c r="AX73" s="21"/>
      <c r="AY73" s="16"/>
      <c r="AZ73" s="23"/>
      <c r="BA73" s="21">
        <f>13</f>
        <v>13</v>
      </c>
      <c r="BB73" s="22"/>
      <c r="BC73" s="23">
        <f t="shared" ref="BC73:BC78" si="20">(BA73)-(BB73)</f>
        <v>13</v>
      </c>
      <c r="BD73" s="21">
        <f>25.25</f>
        <v>25.25</v>
      </c>
      <c r="BE73" s="16"/>
      <c r="BF73" s="23">
        <f>(BD73)-(BE73)</f>
        <v>25.25</v>
      </c>
      <c r="BG73" s="21">
        <f t="shared" si="11"/>
        <v>1531.8899999999999</v>
      </c>
      <c r="BH73" s="22">
        <f t="shared" si="11"/>
        <v>2100</v>
      </c>
      <c r="BI73" s="23">
        <f t="shared" si="12"/>
        <v>-568.11000000000013</v>
      </c>
      <c r="BJ73" s="19"/>
      <c r="BK73" s="16"/>
      <c r="BL73" s="23"/>
      <c r="BM73" s="19"/>
      <c r="BN73" s="16"/>
      <c r="BO73" s="23"/>
      <c r="BP73" s="19"/>
      <c r="BQ73" s="16"/>
      <c r="BR73" s="23"/>
      <c r="BS73" s="19"/>
      <c r="BT73" s="16"/>
      <c r="BU73" s="23"/>
      <c r="BV73" s="19"/>
      <c r="BW73" s="16"/>
      <c r="BX73" s="23"/>
      <c r="BY73" s="21">
        <f>0.5</f>
        <v>0.5</v>
      </c>
      <c r="BZ73" s="16"/>
      <c r="CA73" s="23">
        <f>(BY73)-(BZ73)</f>
        <v>0.5</v>
      </c>
      <c r="CB73" s="21">
        <f>((((BM73)+(BP73))+(BS73))+(BV73))+(BY73)</f>
        <v>0.5</v>
      </c>
      <c r="CC73" s="22">
        <f>((((BN73)+(BQ73))+(BT73))+(BW73))+(BZ73)</f>
        <v>0</v>
      </c>
      <c r="CD73" s="23">
        <f>(CB73)-(CC73)</f>
        <v>0.5</v>
      </c>
      <c r="CE73" s="21">
        <f t="shared" si="13"/>
        <v>1532.3899999999999</v>
      </c>
      <c r="CF73" s="22">
        <f t="shared" si="13"/>
        <v>2100</v>
      </c>
      <c r="CG73" s="23">
        <f t="shared" si="14"/>
        <v>-567.61000000000013</v>
      </c>
    </row>
    <row r="74" spans="1:85" x14ac:dyDescent="0.2">
      <c r="A74" s="3" t="s">
        <v>53</v>
      </c>
      <c r="B74" s="19"/>
      <c r="C74" s="16"/>
      <c r="D74" s="23"/>
      <c r="E74" s="21">
        <f>97.05</f>
        <v>97.05</v>
      </c>
      <c r="F74" s="22"/>
      <c r="G74" s="23">
        <f>(E74)-(F74)</f>
        <v>97.05</v>
      </c>
      <c r="H74" s="19">
        <f>2010.27</f>
        <v>2010.27</v>
      </c>
      <c r="I74" s="16">
        <f>500</f>
        <v>500</v>
      </c>
      <c r="J74" s="23">
        <f t="shared" si="15"/>
        <v>1510.27</v>
      </c>
      <c r="K74" s="19"/>
      <c r="L74" s="16"/>
      <c r="M74" s="23"/>
      <c r="N74" s="21"/>
      <c r="O74" s="22"/>
      <c r="P74" s="23"/>
      <c r="Q74" s="19">
        <f t="shared" si="16"/>
        <v>2107.3200000000002</v>
      </c>
      <c r="R74" s="16">
        <f t="shared" si="16"/>
        <v>500</v>
      </c>
      <c r="S74" s="23">
        <f t="shared" si="17"/>
        <v>1607.3200000000002</v>
      </c>
      <c r="T74" s="19"/>
      <c r="U74" s="16"/>
      <c r="V74" s="23"/>
      <c r="W74" s="21"/>
      <c r="X74" s="22"/>
      <c r="Y74" s="23"/>
      <c r="Z74" s="19"/>
      <c r="AA74" s="16"/>
      <c r="AB74" s="23"/>
      <c r="AC74" s="21"/>
      <c r="AD74" s="22"/>
      <c r="AE74" s="23"/>
      <c r="AF74" s="19">
        <f>143.7</f>
        <v>143.69999999999999</v>
      </c>
      <c r="AG74" s="16"/>
      <c r="AH74" s="23">
        <f>(AF74)-(AG74)</f>
        <v>143.69999999999999</v>
      </c>
      <c r="AI74" s="21"/>
      <c r="AJ74" s="22"/>
      <c r="AK74" s="23"/>
      <c r="AL74" s="19">
        <f>(AF74)+(AI74)</f>
        <v>143.69999999999999</v>
      </c>
      <c r="AM74" s="16"/>
      <c r="AN74" s="23">
        <f>(AL74)-(AM74)</f>
        <v>143.69999999999999</v>
      </c>
      <c r="AO74" s="21">
        <f>502.09</f>
        <v>502.09</v>
      </c>
      <c r="AP74" s="22">
        <f>1000</f>
        <v>1000</v>
      </c>
      <c r="AQ74" s="23">
        <f t="shared" si="18"/>
        <v>-497.91</v>
      </c>
      <c r="AR74" s="19">
        <f>270.52</f>
        <v>270.52</v>
      </c>
      <c r="AS74" s="16">
        <f>200</f>
        <v>200</v>
      </c>
      <c r="AT74" s="23">
        <f>(AR74)-(AS74)</f>
        <v>70.519999999999982</v>
      </c>
      <c r="AU74" s="21">
        <f>3854.17</f>
        <v>3854.17</v>
      </c>
      <c r="AV74" s="22">
        <f>2476</f>
        <v>2476</v>
      </c>
      <c r="AW74" s="23">
        <f t="shared" si="19"/>
        <v>1378.17</v>
      </c>
      <c r="AX74" s="19"/>
      <c r="AY74" s="16"/>
      <c r="AZ74" s="23"/>
      <c r="BA74" s="21">
        <f>294.56</f>
        <v>294.56</v>
      </c>
      <c r="BB74" s="22"/>
      <c r="BC74" s="23">
        <f t="shared" si="20"/>
        <v>294.56</v>
      </c>
      <c r="BD74" s="19"/>
      <c r="BE74" s="16"/>
      <c r="BF74" s="23"/>
      <c r="BG74" s="21">
        <f t="shared" si="11"/>
        <v>7172.3600000000006</v>
      </c>
      <c r="BH74" s="22">
        <f t="shared" si="11"/>
        <v>4176</v>
      </c>
      <c r="BI74" s="23">
        <f t="shared" si="12"/>
        <v>2996.3600000000006</v>
      </c>
      <c r="BJ74" s="21">
        <f>36.01</f>
        <v>36.01</v>
      </c>
      <c r="BK74" s="16"/>
      <c r="BL74" s="23">
        <f>(BJ74)-(BK74)</f>
        <v>36.01</v>
      </c>
      <c r="BM74" s="19"/>
      <c r="BN74" s="16"/>
      <c r="BO74" s="23"/>
      <c r="BP74" s="21">
        <f>9378.27</f>
        <v>9378.27</v>
      </c>
      <c r="BQ74" s="22">
        <f>7000</f>
        <v>7000</v>
      </c>
      <c r="BR74" s="23">
        <f>(BP74)-(BQ74)</f>
        <v>2378.2700000000004</v>
      </c>
      <c r="BS74" s="19"/>
      <c r="BT74" s="16"/>
      <c r="BU74" s="23"/>
      <c r="BV74" s="21">
        <f>26.53</f>
        <v>26.53</v>
      </c>
      <c r="BW74" s="16"/>
      <c r="BX74" s="23">
        <f>(BV74)-(BW74)</f>
        <v>26.53</v>
      </c>
      <c r="BY74" s="21">
        <f>28.75</f>
        <v>28.75</v>
      </c>
      <c r="BZ74" s="22">
        <f>30</f>
        <v>30</v>
      </c>
      <c r="CA74" s="23">
        <f>(BY74)-(BZ74)</f>
        <v>-1.25</v>
      </c>
      <c r="CB74" s="21">
        <f>((((BM74)+(BP74))+(BS74))+(BV74))+(BY74)</f>
        <v>9433.5500000000011</v>
      </c>
      <c r="CC74" s="22">
        <f>((((BN74)+(BQ74))+(BT74))+(BW74))+(BZ74)</f>
        <v>7030</v>
      </c>
      <c r="CD74" s="23">
        <f>(CB74)-(CC74)</f>
        <v>2403.5500000000011</v>
      </c>
      <c r="CE74" s="21">
        <f t="shared" si="13"/>
        <v>16641.920000000002</v>
      </c>
      <c r="CF74" s="22">
        <f t="shared" si="13"/>
        <v>11206</v>
      </c>
      <c r="CG74" s="23">
        <f t="shared" si="14"/>
        <v>5435.9200000000019</v>
      </c>
    </row>
    <row r="75" spans="1:85" x14ac:dyDescent="0.2">
      <c r="A75" s="3" t="s">
        <v>52</v>
      </c>
      <c r="B75" s="19"/>
      <c r="C75" s="16"/>
      <c r="D75" s="23"/>
      <c r="E75" s="21"/>
      <c r="F75" s="22"/>
      <c r="G75" s="23"/>
      <c r="H75" s="19">
        <f>351.96</f>
        <v>351.96</v>
      </c>
      <c r="I75" s="16">
        <f>1000</f>
        <v>1000</v>
      </c>
      <c r="J75" s="23">
        <f t="shared" si="15"/>
        <v>-648.04</v>
      </c>
      <c r="K75" s="19"/>
      <c r="L75" s="16"/>
      <c r="M75" s="23"/>
      <c r="N75" s="21"/>
      <c r="O75" s="22"/>
      <c r="P75" s="23"/>
      <c r="Q75" s="19">
        <f t="shared" si="16"/>
        <v>351.96</v>
      </c>
      <c r="R75" s="16">
        <f t="shared" si="16"/>
        <v>1000</v>
      </c>
      <c r="S75" s="23">
        <f t="shared" si="17"/>
        <v>-648.04</v>
      </c>
      <c r="T75" s="19"/>
      <c r="U75" s="16"/>
      <c r="V75" s="23"/>
      <c r="W75" s="21"/>
      <c r="X75" s="22"/>
      <c r="Y75" s="23"/>
      <c r="Z75" s="19"/>
      <c r="AA75" s="16"/>
      <c r="AB75" s="23"/>
      <c r="AC75" s="21"/>
      <c r="AD75" s="22"/>
      <c r="AE75" s="23"/>
      <c r="AF75" s="19"/>
      <c r="AG75" s="16"/>
      <c r="AH75" s="23"/>
      <c r="AI75" s="21"/>
      <c r="AJ75" s="22"/>
      <c r="AK75" s="23"/>
      <c r="AL75" s="19"/>
      <c r="AM75" s="16"/>
      <c r="AN75" s="23"/>
      <c r="AO75" s="21">
        <f>1552.87</f>
        <v>1552.87</v>
      </c>
      <c r="AP75" s="22">
        <f>4250</f>
        <v>4250</v>
      </c>
      <c r="AQ75" s="23">
        <f t="shared" si="18"/>
        <v>-2697.13</v>
      </c>
      <c r="AR75" s="19"/>
      <c r="AS75" s="16"/>
      <c r="AT75" s="23"/>
      <c r="AU75" s="21">
        <f>-24.45</f>
        <v>-24.45</v>
      </c>
      <c r="AV75" s="22"/>
      <c r="AW75" s="23">
        <f t="shared" si="19"/>
        <v>-24.45</v>
      </c>
      <c r="AX75" s="19"/>
      <c r="AY75" s="16"/>
      <c r="AZ75" s="23"/>
      <c r="BA75" s="21">
        <f>626.4</f>
        <v>626.4</v>
      </c>
      <c r="BB75" s="22"/>
      <c r="BC75" s="23">
        <f t="shared" si="20"/>
        <v>626.4</v>
      </c>
      <c r="BD75" s="19"/>
      <c r="BE75" s="16"/>
      <c r="BF75" s="23"/>
      <c r="BG75" s="21">
        <f t="shared" si="11"/>
        <v>2506.7799999999997</v>
      </c>
      <c r="BH75" s="22">
        <f t="shared" si="11"/>
        <v>5250</v>
      </c>
      <c r="BI75" s="23">
        <f t="shared" si="12"/>
        <v>-2743.2200000000003</v>
      </c>
      <c r="BJ75" s="21">
        <f>278.88</f>
        <v>278.88</v>
      </c>
      <c r="BK75" s="16"/>
      <c r="BL75" s="23">
        <f>(BJ75)-(BK75)</f>
        <v>278.88</v>
      </c>
      <c r="BM75" s="19"/>
      <c r="BN75" s="16"/>
      <c r="BO75" s="23"/>
      <c r="BP75" s="21">
        <f>847.5</f>
        <v>847.5</v>
      </c>
      <c r="BQ75" s="16"/>
      <c r="BR75" s="23">
        <f>(BP75)-(BQ75)</f>
        <v>847.5</v>
      </c>
      <c r="BS75" s="19"/>
      <c r="BT75" s="16"/>
      <c r="BU75" s="23"/>
      <c r="BV75" s="19"/>
      <c r="BW75" s="16"/>
      <c r="BX75" s="23"/>
      <c r="BY75" s="19"/>
      <c r="BZ75" s="16"/>
      <c r="CA75" s="23"/>
      <c r="CB75" s="21">
        <f>((((BM75)+(BP75))+(BS75))+(BV75))+(BY75)</f>
        <v>847.5</v>
      </c>
      <c r="CC75" s="22"/>
      <c r="CD75" s="23">
        <f>(CB75)-(CC75)</f>
        <v>847.5</v>
      </c>
      <c r="CE75" s="21">
        <f t="shared" si="13"/>
        <v>3633.16</v>
      </c>
      <c r="CF75" s="22">
        <f t="shared" si="13"/>
        <v>5250</v>
      </c>
      <c r="CG75" s="23">
        <f t="shared" si="14"/>
        <v>-1616.8400000000001</v>
      </c>
    </row>
    <row r="76" spans="1:85" x14ac:dyDescent="0.2">
      <c r="A76" s="3" t="s">
        <v>51</v>
      </c>
      <c r="B76" s="21"/>
      <c r="C76" s="16"/>
      <c r="D76" s="23"/>
      <c r="E76" s="21">
        <f>613.4</f>
        <v>613.4</v>
      </c>
      <c r="F76" s="22"/>
      <c r="G76" s="23">
        <f>(E76)-(F76)</f>
        <v>613.4</v>
      </c>
      <c r="H76" s="21">
        <f>746.4</f>
        <v>746.4</v>
      </c>
      <c r="I76" s="16">
        <f>1000</f>
        <v>1000</v>
      </c>
      <c r="J76" s="23">
        <f t="shared" si="15"/>
        <v>-253.60000000000002</v>
      </c>
      <c r="K76" s="21"/>
      <c r="L76" s="16"/>
      <c r="M76" s="23"/>
      <c r="N76" s="21"/>
      <c r="O76" s="22"/>
      <c r="P76" s="23"/>
      <c r="Q76" s="21">
        <f t="shared" si="16"/>
        <v>1359.8</v>
      </c>
      <c r="R76" s="16">
        <f t="shared" si="16"/>
        <v>1000</v>
      </c>
      <c r="S76" s="23">
        <f t="shared" si="17"/>
        <v>359.79999999999995</v>
      </c>
      <c r="T76" s="21"/>
      <c r="U76" s="16"/>
      <c r="V76" s="23"/>
      <c r="W76" s="21"/>
      <c r="X76" s="22"/>
      <c r="Y76" s="23"/>
      <c r="Z76" s="21"/>
      <c r="AA76" s="16"/>
      <c r="AB76" s="23"/>
      <c r="AC76" s="21"/>
      <c r="AD76" s="22"/>
      <c r="AE76" s="23"/>
      <c r="AF76" s="21">
        <f>718.91</f>
        <v>718.91</v>
      </c>
      <c r="AG76" s="16">
        <f>4000</f>
        <v>4000</v>
      </c>
      <c r="AH76" s="23">
        <f>(AF76)-(AG76)</f>
        <v>-3281.09</v>
      </c>
      <c r="AI76" s="21">
        <f>413.13</f>
        <v>413.13</v>
      </c>
      <c r="AJ76" s="22"/>
      <c r="AK76" s="23">
        <f>(AI76)-(AJ76)</f>
        <v>413.13</v>
      </c>
      <c r="AL76" s="21">
        <f t="shared" ref="AL76:AM78" si="21">(AF76)+(AI76)</f>
        <v>1132.04</v>
      </c>
      <c r="AM76" s="16">
        <f t="shared" si="21"/>
        <v>4000</v>
      </c>
      <c r="AN76" s="23">
        <f>(AL76)-(AM76)</f>
        <v>-2867.96</v>
      </c>
      <c r="AO76" s="21">
        <f>2184.32</f>
        <v>2184.3200000000002</v>
      </c>
      <c r="AP76" s="22">
        <f>4250</f>
        <v>4250</v>
      </c>
      <c r="AQ76" s="23">
        <f t="shared" si="18"/>
        <v>-2065.6799999999998</v>
      </c>
      <c r="AR76" s="21"/>
      <c r="AS76" s="16"/>
      <c r="AT76" s="23"/>
      <c r="AU76" s="21">
        <f>466.12</f>
        <v>466.12</v>
      </c>
      <c r="AV76" s="22"/>
      <c r="AW76" s="23">
        <f t="shared" si="19"/>
        <v>466.12</v>
      </c>
      <c r="AX76" s="21"/>
      <c r="AY76" s="16"/>
      <c r="AZ76" s="23"/>
      <c r="BA76" s="21"/>
      <c r="BB76" s="22"/>
      <c r="BC76" s="23">
        <f t="shared" si="20"/>
        <v>0</v>
      </c>
      <c r="BD76" s="21">
        <f>104.99</f>
        <v>104.99</v>
      </c>
      <c r="BE76" s="16"/>
      <c r="BF76" s="23">
        <f>(BD76)-(BE76)</f>
        <v>104.99</v>
      </c>
      <c r="BG76" s="21">
        <f t="shared" si="11"/>
        <v>5247.2699999999995</v>
      </c>
      <c r="BH76" s="22">
        <f t="shared" si="11"/>
        <v>9250</v>
      </c>
      <c r="BI76" s="23">
        <f t="shared" si="12"/>
        <v>-4002.7300000000005</v>
      </c>
      <c r="BJ76" s="21">
        <f>397.19</f>
        <v>397.19</v>
      </c>
      <c r="BK76" s="16"/>
      <c r="BL76" s="23">
        <f>(BJ76)-(BK76)</f>
        <v>397.19</v>
      </c>
      <c r="BM76" s="19"/>
      <c r="BN76" s="16"/>
      <c r="BO76" s="23"/>
      <c r="BP76" s="19"/>
      <c r="BQ76" s="16"/>
      <c r="BR76" s="23"/>
      <c r="BS76" s="21">
        <f>301.96</f>
        <v>301.95999999999998</v>
      </c>
      <c r="BT76" s="16"/>
      <c r="BU76" s="23">
        <f>(BS76)-(BT76)</f>
        <v>301.95999999999998</v>
      </c>
      <c r="BV76" s="19"/>
      <c r="BW76" s="16"/>
      <c r="BX76" s="23"/>
      <c r="BY76" s="19"/>
      <c r="BZ76" s="16"/>
      <c r="CA76" s="23"/>
      <c r="CB76" s="21">
        <f>((((BM76)+(BP76))+(BS76))+(BV76))+(BY76)</f>
        <v>301.95999999999998</v>
      </c>
      <c r="CC76" s="22"/>
      <c r="CD76" s="23">
        <f>(CB76)-(CC76)</f>
        <v>301.95999999999998</v>
      </c>
      <c r="CE76" s="21">
        <f t="shared" si="13"/>
        <v>5946.4199999999992</v>
      </c>
      <c r="CF76" s="22">
        <f t="shared" si="13"/>
        <v>9250</v>
      </c>
      <c r="CG76" s="23">
        <f t="shared" si="14"/>
        <v>-3303.5800000000008</v>
      </c>
    </row>
    <row r="77" spans="1:85" x14ac:dyDescent="0.2">
      <c r="A77" s="3" t="s">
        <v>50</v>
      </c>
      <c r="B77" s="21"/>
      <c r="C77" s="16"/>
      <c r="D77" s="23"/>
      <c r="E77" s="21"/>
      <c r="F77" s="22"/>
      <c r="G77" s="23"/>
      <c r="H77" s="21"/>
      <c r="I77" s="16">
        <f>1000</f>
        <v>1000</v>
      </c>
      <c r="J77" s="23">
        <f t="shared" si="15"/>
        <v>-1000</v>
      </c>
      <c r="K77" s="21"/>
      <c r="L77" s="16"/>
      <c r="M77" s="23"/>
      <c r="N77" s="21"/>
      <c r="O77" s="22"/>
      <c r="P77" s="23"/>
      <c r="Q77" s="21"/>
      <c r="R77" s="16">
        <f>(((F77)+(I77))+(L77))+(O77)</f>
        <v>1000</v>
      </c>
      <c r="S77" s="23">
        <f t="shared" si="17"/>
        <v>-1000</v>
      </c>
      <c r="T77" s="21"/>
      <c r="U77" s="16"/>
      <c r="V77" s="23"/>
      <c r="W77" s="21"/>
      <c r="X77" s="22"/>
      <c r="Y77" s="23"/>
      <c r="Z77" s="21"/>
      <c r="AA77" s="16"/>
      <c r="AB77" s="23"/>
      <c r="AC77" s="21"/>
      <c r="AD77" s="22"/>
      <c r="AE77" s="23"/>
      <c r="AF77" s="21">
        <f>505</f>
        <v>505</v>
      </c>
      <c r="AG77" s="16"/>
      <c r="AH77" s="23">
        <f>(AF77)-(AG77)</f>
        <v>505</v>
      </c>
      <c r="AI77" s="21"/>
      <c r="AJ77" s="22"/>
      <c r="AK77" s="23"/>
      <c r="AL77" s="21">
        <f t="shared" si="21"/>
        <v>505</v>
      </c>
      <c r="AM77" s="16">
        <f t="shared" si="21"/>
        <v>0</v>
      </c>
      <c r="AN77" s="23">
        <f>(AL77)-(AM77)</f>
        <v>505</v>
      </c>
      <c r="AO77" s="21">
        <f>915</f>
        <v>915</v>
      </c>
      <c r="AP77" s="22">
        <f>4250</f>
        <v>4250</v>
      </c>
      <c r="AQ77" s="23">
        <f t="shared" si="18"/>
        <v>-3335</v>
      </c>
      <c r="AR77" s="21"/>
      <c r="AS77" s="16"/>
      <c r="AT77" s="23"/>
      <c r="AU77" s="21"/>
      <c r="AV77" s="22"/>
      <c r="AW77" s="23">
        <f t="shared" si="19"/>
        <v>0</v>
      </c>
      <c r="AX77" s="21"/>
      <c r="AY77" s="16"/>
      <c r="AZ77" s="23"/>
      <c r="BA77" s="21">
        <f>35</f>
        <v>35</v>
      </c>
      <c r="BB77" s="22"/>
      <c r="BC77" s="23">
        <f t="shared" si="20"/>
        <v>35</v>
      </c>
      <c r="BD77" s="21">
        <f>275</f>
        <v>275</v>
      </c>
      <c r="BE77" s="16"/>
      <c r="BF77" s="23">
        <f>(BD77)-(BE77)</f>
        <v>275</v>
      </c>
      <c r="BG77" s="21">
        <f t="shared" si="11"/>
        <v>1730</v>
      </c>
      <c r="BH77" s="22">
        <f t="shared" si="11"/>
        <v>5250</v>
      </c>
      <c r="BI77" s="23">
        <f t="shared" si="12"/>
        <v>-3520</v>
      </c>
      <c r="BJ77" s="19"/>
      <c r="BK77" s="16"/>
      <c r="BL77" s="23"/>
      <c r="BM77" s="19"/>
      <c r="BN77" s="16"/>
      <c r="BO77" s="23"/>
      <c r="BP77" s="19"/>
      <c r="BQ77" s="16"/>
      <c r="BR77" s="23"/>
      <c r="BS77" s="19"/>
      <c r="BT77" s="16"/>
      <c r="BU77" s="23"/>
      <c r="BV77" s="19"/>
      <c r="BW77" s="16"/>
      <c r="BX77" s="23"/>
      <c r="BY77" s="19"/>
      <c r="BZ77" s="16"/>
      <c r="CA77" s="23"/>
      <c r="CB77" s="21"/>
      <c r="CC77" s="22"/>
      <c r="CD77" s="23"/>
      <c r="CE77" s="21">
        <f t="shared" si="13"/>
        <v>1730</v>
      </c>
      <c r="CF77" s="22">
        <f t="shared" si="13"/>
        <v>5250</v>
      </c>
      <c r="CG77" s="23">
        <f t="shared" si="14"/>
        <v>-3520</v>
      </c>
    </row>
    <row r="78" spans="1:85" x14ac:dyDescent="0.2">
      <c r="A78" s="3" t="s">
        <v>49</v>
      </c>
      <c r="B78" s="24">
        <f>(((((B72)+(B73))+(B74))+(B75))+(B76))+(B77)</f>
        <v>0</v>
      </c>
      <c r="C78" s="6">
        <f>(((((C72)+(C73))+(C74))+(C75))+(C76))+(C77)</f>
        <v>0</v>
      </c>
      <c r="D78" s="25">
        <f>(B78)-(C78)</f>
        <v>0</v>
      </c>
      <c r="E78" s="24">
        <f>(((((E72)+(E73))+(E74))+(E75))+(E76))+(E77)</f>
        <v>838.57999999999993</v>
      </c>
      <c r="F78" s="6">
        <f>(((((F72)+(F73))+(F74))+(F75))+(F76))+(F77)</f>
        <v>0</v>
      </c>
      <c r="G78" s="25">
        <f>(E78)-(F78)</f>
        <v>838.57999999999993</v>
      </c>
      <c r="H78" s="24">
        <f>(((((H72)+(H73))+(H74))+(H75))+(H76))+(H77)</f>
        <v>3260.7200000000003</v>
      </c>
      <c r="I78" s="6">
        <f>(((((I72)+(I73))+(I74))+(I75))+(I76))+(I77)</f>
        <v>4000</v>
      </c>
      <c r="J78" s="25">
        <f t="shared" si="15"/>
        <v>-739.27999999999975</v>
      </c>
      <c r="K78" s="24">
        <f>(((((K72)+(K73))+(K74))+(K75))+(K76))+(K77)</f>
        <v>0</v>
      </c>
      <c r="L78" s="6">
        <f>(((((L72)+(L73))+(L74))+(L75))+(L76))+(L77)</f>
        <v>0</v>
      </c>
      <c r="M78" s="25">
        <f>(K78)-(L78)</f>
        <v>0</v>
      </c>
      <c r="N78" s="24">
        <f>(((((N72)+(N73))+(N74))+(N75))+(N76))+(N77)</f>
        <v>0</v>
      </c>
      <c r="O78" s="6">
        <f>(((((O72)+(O73))+(O74))+(O75))+(O76))+(O77)</f>
        <v>0</v>
      </c>
      <c r="P78" s="25">
        <f>(N78)-(O78)</f>
        <v>0</v>
      </c>
      <c r="Q78" s="24">
        <f>(((E78)+(H78))+(K78))+(N78)</f>
        <v>4099.3</v>
      </c>
      <c r="R78" s="6">
        <f>(((F78)+(I78))+(L78))+(O78)</f>
        <v>4000</v>
      </c>
      <c r="S78" s="25">
        <f t="shared" si="17"/>
        <v>99.300000000000182</v>
      </c>
      <c r="T78" s="24">
        <f>(((((T72)+(T73))+(T74))+(T75))+(T76))+(T77)</f>
        <v>0</v>
      </c>
      <c r="U78" s="6">
        <f>(((((U72)+(U73))+(U74))+(U75))+(U76))+(U77)</f>
        <v>0</v>
      </c>
      <c r="V78" s="25">
        <f>(T78)-(U78)</f>
        <v>0</v>
      </c>
      <c r="W78" s="24">
        <f>(((((W72)+(W73))+(W74))+(W75))+(W76))+(W77)</f>
        <v>0</v>
      </c>
      <c r="X78" s="6">
        <f>(((((X72)+(X73))+(X74))+(X75))+(X76))+(X77)</f>
        <v>0</v>
      </c>
      <c r="Y78" s="25">
        <f>(W78)-(X78)</f>
        <v>0</v>
      </c>
      <c r="Z78" s="24">
        <f>(((((Z72)+(Z73))+(Z74))+(Z75))+(Z76))+(Z77)</f>
        <v>0</v>
      </c>
      <c r="AA78" s="6">
        <f>(((((AA72)+(AA73))+(AA74))+(AA75))+(AA76))+(AA77)</f>
        <v>0</v>
      </c>
      <c r="AB78" s="25">
        <f>(Z78)-(AA78)</f>
        <v>0</v>
      </c>
      <c r="AC78" s="24">
        <f>((T78)+(W78))+(Z78)</f>
        <v>0</v>
      </c>
      <c r="AD78" s="6">
        <f>((U78)+(X78))+(AA78)</f>
        <v>0</v>
      </c>
      <c r="AE78" s="25">
        <f>(AC78)-(AD78)</f>
        <v>0</v>
      </c>
      <c r="AF78" s="24">
        <f>(((((AF72)+(AF73))+(AF74))+(AF75))+(AF76))+(AF77)</f>
        <v>1826.0099999999998</v>
      </c>
      <c r="AG78" s="6">
        <f>(((((AG72)+(AG73))+(AG74))+(AG75))+(AG76))+(AG77)</f>
        <v>4400</v>
      </c>
      <c r="AH78" s="25">
        <f>(AF78)-(AG78)</f>
        <v>-2573.9900000000002</v>
      </c>
      <c r="AI78" s="24">
        <f>(((((AI72)+(AI73))+(AI74))+(AI75))+(AI76))+(AI77)</f>
        <v>413.13</v>
      </c>
      <c r="AJ78" s="6">
        <f>(((((AJ72)+(AJ73))+(AJ74))+(AJ75))+(AJ76))+(AJ77)</f>
        <v>0</v>
      </c>
      <c r="AK78" s="25">
        <f>(AI78)-(AJ78)</f>
        <v>413.13</v>
      </c>
      <c r="AL78" s="24">
        <f t="shared" si="21"/>
        <v>2239.14</v>
      </c>
      <c r="AM78" s="6">
        <f t="shared" si="21"/>
        <v>4400</v>
      </c>
      <c r="AN78" s="25">
        <f>(AL78)-(AM78)</f>
        <v>-2160.86</v>
      </c>
      <c r="AO78" s="24">
        <f>(((((AO72)+(AO73))+(AO74))+(AO75))+(AO76))+(AO77)</f>
        <v>5819.2999999999993</v>
      </c>
      <c r="AP78" s="6">
        <f>(((((AP72)+(AP73))+(AP74))+(AP75))+(AP76))+(AP77)</f>
        <v>14950</v>
      </c>
      <c r="AQ78" s="25">
        <f t="shared" si="18"/>
        <v>-9130.7000000000007</v>
      </c>
      <c r="AR78" s="24">
        <f>(((((AR72)+(AR73))+(AR74))+(AR75))+(AR76))+(AR77)</f>
        <v>271.52</v>
      </c>
      <c r="AS78" s="6">
        <f>(((((AS72)+(AS73))+(AS74))+(AS75))+(AS76))+(AS77)</f>
        <v>2700</v>
      </c>
      <c r="AT78" s="25">
        <f>(AR78)-(AS78)</f>
        <v>-2428.48</v>
      </c>
      <c r="AU78" s="24">
        <f>(((((AU72)+(AU73))+(AU74))+(AU75))+(AU76))+(AU77)</f>
        <v>4392.84</v>
      </c>
      <c r="AV78" s="6">
        <f>(((((AV72)+(AV73))+(AV74))+(AV75))+(AV76))+(AV77)</f>
        <v>2476</v>
      </c>
      <c r="AW78" s="25">
        <f t="shared" si="19"/>
        <v>1916.8400000000001</v>
      </c>
      <c r="AX78" s="24">
        <f>(((((AX72)+(AX73))+(AX74))+(AX75))+(AX76))+(AX77)</f>
        <v>0</v>
      </c>
      <c r="AY78" s="6">
        <f>(((((AY72)+(AY73))+(AY74))+(AY75))+(AY76))+(AY77)</f>
        <v>4000</v>
      </c>
      <c r="AZ78" s="25">
        <f>(AX78)-(AY78)</f>
        <v>-4000</v>
      </c>
      <c r="BA78" s="24">
        <f>(((((BA72)+(BA73))+(BA74))+(BA75))+(BA76))+(BA77)</f>
        <v>968.96</v>
      </c>
      <c r="BB78" s="6">
        <f>(((((BB72)+(BB73))+(BB74))+(BB75))+(BB76))+(BB77)</f>
        <v>0</v>
      </c>
      <c r="BC78" s="25">
        <f t="shared" si="20"/>
        <v>968.96</v>
      </c>
      <c r="BD78" s="24">
        <f>(((((BD72)+(BD73))+(BD74))+(BD75))+(BD76))+(BD77)</f>
        <v>405.24</v>
      </c>
      <c r="BE78" s="6">
        <f>(((((BE72)+(BE73))+(BE74))+(BE75))+(BE76))+(BE77)</f>
        <v>0</v>
      </c>
      <c r="BF78" s="25">
        <f>(BD78)-(BE78)</f>
        <v>405.24</v>
      </c>
      <c r="BG78" s="24">
        <f t="shared" si="11"/>
        <v>18196.3</v>
      </c>
      <c r="BH78" s="6">
        <f t="shared" si="11"/>
        <v>32526</v>
      </c>
      <c r="BI78" s="25">
        <f t="shared" si="12"/>
        <v>-14329.7</v>
      </c>
      <c r="BJ78" s="24">
        <f>(((((BJ72)+(BJ73))+(BJ74))+(BJ75))+(BJ76))+(BJ77)</f>
        <v>712.07999999999993</v>
      </c>
      <c r="BK78" s="6">
        <f>(((((BK72)+(BK73))+(BK74))+(BK75))+(BK76))+(BK77)</f>
        <v>0</v>
      </c>
      <c r="BL78" s="25">
        <f>(BJ78)-(BK78)</f>
        <v>712.07999999999993</v>
      </c>
      <c r="BM78" s="24">
        <f>(((((BM72)+(BM73))+(BM74))+(BM75))+(BM76))+(BM77)</f>
        <v>0</v>
      </c>
      <c r="BN78" s="6">
        <f>(((((BN72)+(BN73))+(BN74))+(BN75))+(BN76))+(BN77)</f>
        <v>0</v>
      </c>
      <c r="BO78" s="25">
        <f>(BM78)-(BN78)</f>
        <v>0</v>
      </c>
      <c r="BP78" s="24">
        <f>(((((BP72)+(BP73))+(BP74))+(BP75))+(BP76))+(BP77)</f>
        <v>10225.77</v>
      </c>
      <c r="BQ78" s="6">
        <f>(((((BQ72)+(BQ73))+(BQ74))+(BQ75))+(BQ76))+(BQ77)</f>
        <v>7000</v>
      </c>
      <c r="BR78" s="25">
        <f>(BP78)-(BQ78)</f>
        <v>3225.7700000000004</v>
      </c>
      <c r="BS78" s="24">
        <f>(((((BS72)+(BS73))+(BS74))+(BS75))+(BS76))+(BS77)</f>
        <v>301.95999999999998</v>
      </c>
      <c r="BT78" s="6">
        <f>(((((BT72)+(BT73))+(BT74))+(BT75))+(BT76))+(BT77)</f>
        <v>0</v>
      </c>
      <c r="BU78" s="25">
        <f>(BS78)-(BT78)</f>
        <v>301.95999999999998</v>
      </c>
      <c r="BV78" s="24">
        <f>(((((BV72)+(BV73))+(BV74))+(BV75))+(BV76))+(BV77)</f>
        <v>26.53</v>
      </c>
      <c r="BW78" s="6">
        <f>(((((BW72)+(BW73))+(BW74))+(BW75))+(BW76))+(BW77)</f>
        <v>0</v>
      </c>
      <c r="BX78" s="25">
        <f>(BV78)-(BW78)</f>
        <v>26.53</v>
      </c>
      <c r="BY78" s="24">
        <f>(((((BY72)+(BY73))+(BY74))+(BY75))+(BY76))+(BY77)</f>
        <v>29.25</v>
      </c>
      <c r="BZ78" s="6">
        <f>(((((BZ72)+(BZ73))+(BZ74))+(BZ75))+(BZ76))+(BZ77)</f>
        <v>30</v>
      </c>
      <c r="CA78" s="25">
        <f>(BY78)-(BZ78)</f>
        <v>-0.75</v>
      </c>
      <c r="CB78" s="24">
        <f>((((BM78)+(BP78))+(BS78))+(BV78))+(BY78)</f>
        <v>10583.51</v>
      </c>
      <c r="CC78" s="6">
        <f>((((BN78)+(BQ78))+(BT78))+(BW78))+(BZ78)</f>
        <v>7030</v>
      </c>
      <c r="CD78" s="25">
        <f>(CB78)-(CC78)</f>
        <v>3553.51</v>
      </c>
      <c r="CE78" s="24">
        <f t="shared" si="13"/>
        <v>29491.89</v>
      </c>
      <c r="CF78" s="6">
        <f t="shared" si="13"/>
        <v>39556</v>
      </c>
      <c r="CG78" s="25">
        <f t="shared" si="14"/>
        <v>-10064.11</v>
      </c>
    </row>
    <row r="79" spans="1:85" x14ac:dyDescent="0.2">
      <c r="A79" s="3"/>
      <c r="B79" s="26"/>
      <c r="C79" s="9"/>
      <c r="D79" s="27"/>
      <c r="E79" s="26"/>
      <c r="F79" s="9"/>
      <c r="G79" s="27"/>
      <c r="H79" s="26"/>
      <c r="I79" s="9"/>
      <c r="J79" s="27"/>
      <c r="K79" s="26"/>
      <c r="L79" s="9"/>
      <c r="M79" s="27"/>
      <c r="N79" s="26"/>
      <c r="O79" s="9"/>
      <c r="P79" s="27"/>
      <c r="Q79" s="26"/>
      <c r="R79" s="9"/>
      <c r="S79" s="27"/>
      <c r="T79" s="26"/>
      <c r="U79" s="9"/>
      <c r="V79" s="27"/>
      <c r="W79" s="26"/>
      <c r="X79" s="9"/>
      <c r="Y79" s="27"/>
      <c r="Z79" s="26"/>
      <c r="AA79" s="9"/>
      <c r="AB79" s="27"/>
      <c r="AC79" s="26"/>
      <c r="AD79" s="9"/>
      <c r="AE79" s="27"/>
      <c r="AF79" s="26"/>
      <c r="AG79" s="9"/>
      <c r="AH79" s="27"/>
      <c r="AI79" s="26"/>
      <c r="AJ79" s="9"/>
      <c r="AK79" s="27"/>
      <c r="AL79" s="26"/>
      <c r="AM79" s="9"/>
      <c r="AN79" s="27"/>
      <c r="AO79" s="26"/>
      <c r="AP79" s="9"/>
      <c r="AQ79" s="27"/>
      <c r="AR79" s="26"/>
      <c r="AS79" s="9"/>
      <c r="AT79" s="27"/>
      <c r="AU79" s="26"/>
      <c r="AV79" s="9"/>
      <c r="AW79" s="27"/>
      <c r="AX79" s="26"/>
      <c r="AY79" s="9"/>
      <c r="AZ79" s="27"/>
      <c r="BA79" s="26"/>
      <c r="BB79" s="9"/>
      <c r="BC79" s="27"/>
      <c r="BD79" s="26"/>
      <c r="BE79" s="9"/>
      <c r="BF79" s="27"/>
      <c r="BG79" s="26"/>
      <c r="BH79" s="9"/>
      <c r="BI79" s="27"/>
      <c r="BJ79" s="26"/>
      <c r="BK79" s="9"/>
      <c r="BL79" s="27"/>
      <c r="BM79" s="26"/>
      <c r="BN79" s="9"/>
      <c r="BO79" s="27"/>
      <c r="BP79" s="26"/>
      <c r="BQ79" s="9"/>
      <c r="BR79" s="27"/>
      <c r="BS79" s="26"/>
      <c r="BT79" s="9"/>
      <c r="BU79" s="27"/>
      <c r="BV79" s="26"/>
      <c r="BW79" s="9"/>
      <c r="BX79" s="27"/>
      <c r="BY79" s="26"/>
      <c r="BZ79" s="9"/>
      <c r="CA79" s="27"/>
      <c r="CB79" s="26"/>
      <c r="CC79" s="9"/>
      <c r="CD79" s="27"/>
      <c r="CE79" s="26"/>
      <c r="CF79" s="9"/>
      <c r="CG79" s="27"/>
    </row>
    <row r="80" spans="1:85" x14ac:dyDescent="0.2">
      <c r="A80" s="3" t="s">
        <v>48</v>
      </c>
      <c r="B80" s="19"/>
      <c r="C80" s="16"/>
      <c r="D80" s="23"/>
      <c r="E80" s="21"/>
      <c r="F80" s="22"/>
      <c r="G80" s="23"/>
      <c r="H80" s="19"/>
      <c r="I80" s="16"/>
      <c r="J80" s="23"/>
      <c r="K80" s="19"/>
      <c r="L80" s="16"/>
      <c r="M80" s="23"/>
      <c r="N80" s="21"/>
      <c r="O80" s="22"/>
      <c r="P80" s="23"/>
      <c r="Q80" s="19"/>
      <c r="R80" s="16"/>
      <c r="S80" s="23"/>
      <c r="T80" s="19"/>
      <c r="U80" s="16"/>
      <c r="V80" s="23"/>
      <c r="W80" s="21"/>
      <c r="X80" s="22"/>
      <c r="Y80" s="23"/>
      <c r="Z80" s="19"/>
      <c r="AA80" s="16"/>
      <c r="AB80" s="23"/>
      <c r="AC80" s="21"/>
      <c r="AD80" s="22"/>
      <c r="AE80" s="23"/>
      <c r="AF80" s="19"/>
      <c r="AG80" s="16"/>
      <c r="AH80" s="23"/>
      <c r="AI80" s="21"/>
      <c r="AJ80" s="22"/>
      <c r="AK80" s="23"/>
      <c r="AL80" s="19"/>
      <c r="AM80" s="16"/>
      <c r="AN80" s="23"/>
      <c r="AO80" s="21"/>
      <c r="AP80" s="22"/>
      <c r="AQ80" s="23"/>
      <c r="AR80" s="19"/>
      <c r="AS80" s="16"/>
      <c r="AT80" s="23"/>
      <c r="AU80" s="21"/>
      <c r="AV80" s="22"/>
      <c r="AW80" s="23"/>
      <c r="AX80" s="19"/>
      <c r="AY80" s="16"/>
      <c r="AZ80" s="23"/>
      <c r="BA80" s="21"/>
      <c r="BB80" s="22"/>
      <c r="BC80" s="23"/>
      <c r="BD80" s="19"/>
      <c r="BE80" s="16"/>
      <c r="BF80" s="23"/>
      <c r="BG80" s="21"/>
      <c r="BH80" s="22"/>
      <c r="BI80" s="23"/>
      <c r="BJ80" s="19"/>
      <c r="BK80" s="16"/>
      <c r="BL80" s="23"/>
      <c r="BM80" s="19"/>
      <c r="BN80" s="16"/>
      <c r="BO80" s="23"/>
      <c r="BP80" s="19"/>
      <c r="BQ80" s="16"/>
      <c r="BR80" s="23"/>
      <c r="BS80" s="19"/>
      <c r="BT80" s="16"/>
      <c r="BU80" s="23"/>
      <c r="BV80" s="19"/>
      <c r="BW80" s="16"/>
      <c r="BX80" s="23"/>
      <c r="BY80" s="19"/>
      <c r="BZ80" s="16"/>
      <c r="CA80" s="23"/>
      <c r="CB80" s="21"/>
      <c r="CC80" s="22"/>
      <c r="CD80" s="23"/>
      <c r="CE80" s="21"/>
      <c r="CF80" s="22"/>
      <c r="CG80" s="23"/>
    </row>
    <row r="81" spans="1:85" x14ac:dyDescent="0.2">
      <c r="A81" s="3" t="s">
        <v>47</v>
      </c>
      <c r="B81" s="19"/>
      <c r="C81" s="16"/>
      <c r="D81" s="23"/>
      <c r="E81" s="21"/>
      <c r="F81" s="22"/>
      <c r="G81" s="23"/>
      <c r="H81" s="19"/>
      <c r="I81" s="16"/>
      <c r="J81" s="23"/>
      <c r="K81" s="19"/>
      <c r="L81" s="16"/>
      <c r="M81" s="23"/>
      <c r="N81" s="21"/>
      <c r="O81" s="22"/>
      <c r="P81" s="23"/>
      <c r="Q81" s="19"/>
      <c r="R81" s="16"/>
      <c r="S81" s="23"/>
      <c r="T81" s="19"/>
      <c r="U81" s="16"/>
      <c r="V81" s="23"/>
      <c r="W81" s="21">
        <f>500</f>
        <v>500</v>
      </c>
      <c r="X81" s="22"/>
      <c r="Y81" s="23">
        <f>(W81)-(X81)</f>
        <v>500</v>
      </c>
      <c r="Z81" s="19"/>
      <c r="AA81" s="16"/>
      <c r="AB81" s="23"/>
      <c r="AC81" s="21">
        <f>((T81)+(W81))+(Z81)</f>
        <v>500</v>
      </c>
      <c r="AD81" s="22"/>
      <c r="AE81" s="23">
        <f>(AC81)-(AD81)</f>
        <v>500</v>
      </c>
      <c r="AF81" s="19"/>
      <c r="AG81" s="16"/>
      <c r="AH81" s="23"/>
      <c r="AI81" s="21"/>
      <c r="AJ81" s="22"/>
      <c r="AK81" s="23"/>
      <c r="AL81" s="19"/>
      <c r="AM81" s="16"/>
      <c r="AN81" s="23"/>
      <c r="AO81" s="21">
        <f>250</f>
        <v>250</v>
      </c>
      <c r="AP81" s="22">
        <f>800</f>
        <v>800</v>
      </c>
      <c r="AQ81" s="23">
        <f>(AO81)-(AP81)</f>
        <v>-550</v>
      </c>
      <c r="AR81" s="19"/>
      <c r="AS81" s="16"/>
      <c r="AT81" s="23"/>
      <c r="AU81" s="21">
        <f>1876.05</f>
        <v>1876.05</v>
      </c>
      <c r="AV81" s="22">
        <f>2587</f>
        <v>2587</v>
      </c>
      <c r="AW81" s="23">
        <f>(AU81)-(AV81)</f>
        <v>-710.95</v>
      </c>
      <c r="AX81" s="19"/>
      <c r="AY81" s="16"/>
      <c r="AZ81" s="23"/>
      <c r="BA81" s="21"/>
      <c r="BB81" s="22"/>
      <c r="BC81" s="23"/>
      <c r="BD81" s="19"/>
      <c r="BE81" s="16"/>
      <c r="BF81" s="23"/>
      <c r="BG81" s="21">
        <f>(((((((((B81)+(Q81))+(AC81))+(AL81))+(AO81))+(AR81))+(AU81))+(AX81))+(BA81))+(BD81)</f>
        <v>2626.05</v>
      </c>
      <c r="BH81" s="22">
        <f>(((((((((C81)+(R81))+(AD81))+(AM81))+(AP81))+(AS81))+(AV81))+(AY81))+(BB81))+(BE81)</f>
        <v>3387</v>
      </c>
      <c r="BI81" s="23">
        <f>(BG81)-(BH81)</f>
        <v>-760.94999999999982</v>
      </c>
      <c r="BJ81" s="19"/>
      <c r="BK81" s="16"/>
      <c r="BL81" s="23"/>
      <c r="BM81" s="19"/>
      <c r="BN81" s="16"/>
      <c r="BO81" s="23"/>
      <c r="BP81" s="19"/>
      <c r="BQ81" s="16"/>
      <c r="BR81" s="23"/>
      <c r="BS81" s="19"/>
      <c r="BT81" s="16"/>
      <c r="BU81" s="23"/>
      <c r="BV81" s="19"/>
      <c r="BW81" s="16"/>
      <c r="BX81" s="23"/>
      <c r="BY81" s="19"/>
      <c r="BZ81" s="16"/>
      <c r="CA81" s="23"/>
      <c r="CB81" s="21"/>
      <c r="CC81" s="22"/>
      <c r="CD81" s="23"/>
      <c r="CE81" s="21">
        <f>((BG81)+(BJ81))+(CB81)</f>
        <v>2626.05</v>
      </c>
      <c r="CF81" s="22">
        <f>((BH81)+(BK81))+(CC81)</f>
        <v>3387</v>
      </c>
      <c r="CG81" s="23">
        <f>(CE81)-(CF81)</f>
        <v>-760.94999999999982</v>
      </c>
    </row>
    <row r="82" spans="1:85" x14ac:dyDescent="0.2">
      <c r="A82" s="3" t="s">
        <v>46</v>
      </c>
      <c r="B82" s="24">
        <f>(B80)+(B81)</f>
        <v>0</v>
      </c>
      <c r="C82" s="6">
        <f>(C80)+(C81)</f>
        <v>0</v>
      </c>
      <c r="D82" s="25">
        <f>(B82)-(C82)</f>
        <v>0</v>
      </c>
      <c r="E82" s="24">
        <f>(E80)+(E81)</f>
        <v>0</v>
      </c>
      <c r="F82" s="6">
        <f>(F80)+(F81)</f>
        <v>0</v>
      </c>
      <c r="G82" s="25">
        <f>(E82)-(F82)</f>
        <v>0</v>
      </c>
      <c r="H82" s="24">
        <f>(H80)+(H81)</f>
        <v>0</v>
      </c>
      <c r="I82" s="6">
        <f>(I80)+(I81)</f>
        <v>0</v>
      </c>
      <c r="J82" s="25">
        <f>(H82)-(I82)</f>
        <v>0</v>
      </c>
      <c r="K82" s="24">
        <f>(K80)+(K81)</f>
        <v>0</v>
      </c>
      <c r="L82" s="6">
        <f>(L80)+(L81)</f>
        <v>0</v>
      </c>
      <c r="M82" s="25">
        <f>(K82)-(L82)</f>
        <v>0</v>
      </c>
      <c r="N82" s="24">
        <f>(N80)+(N81)</f>
        <v>0</v>
      </c>
      <c r="O82" s="6">
        <f>(O80)+(O81)</f>
        <v>0</v>
      </c>
      <c r="P82" s="25">
        <f>(N82)-(O82)</f>
        <v>0</v>
      </c>
      <c r="Q82" s="24">
        <f>(((E82)+(H82))+(K82))+(N82)</f>
        <v>0</v>
      </c>
      <c r="R82" s="6">
        <f>(((F82)+(I82))+(L82))+(O82)</f>
        <v>0</v>
      </c>
      <c r="S82" s="25">
        <f>(Q82)-(R82)</f>
        <v>0</v>
      </c>
      <c r="T82" s="24">
        <f>(T80)+(T81)</f>
        <v>0</v>
      </c>
      <c r="U82" s="6">
        <f>(U80)+(U81)</f>
        <v>0</v>
      </c>
      <c r="V82" s="25">
        <f>(T82)-(U82)</f>
        <v>0</v>
      </c>
      <c r="W82" s="24">
        <f>(W80)+(W81)</f>
        <v>500</v>
      </c>
      <c r="X82" s="6">
        <f>(X80)+(X81)</f>
        <v>0</v>
      </c>
      <c r="Y82" s="25">
        <f>(W82)-(X82)</f>
        <v>500</v>
      </c>
      <c r="Z82" s="24">
        <f>(Z80)+(Z81)</f>
        <v>0</v>
      </c>
      <c r="AA82" s="6">
        <f>(AA80)+(AA81)</f>
        <v>0</v>
      </c>
      <c r="AB82" s="25">
        <f>(Z82)-(AA82)</f>
        <v>0</v>
      </c>
      <c r="AC82" s="24">
        <f>((T82)+(W82))+(Z82)</f>
        <v>500</v>
      </c>
      <c r="AD82" s="6">
        <f>((U82)+(X82))+(AA82)</f>
        <v>0</v>
      </c>
      <c r="AE82" s="25">
        <f>(AC82)-(AD82)</f>
        <v>500</v>
      </c>
      <c r="AF82" s="24">
        <f>(AF80)+(AF81)</f>
        <v>0</v>
      </c>
      <c r="AG82" s="6">
        <f>(AG80)+(AG81)</f>
        <v>0</v>
      </c>
      <c r="AH82" s="25">
        <f>(AF82)-(AG82)</f>
        <v>0</v>
      </c>
      <c r="AI82" s="24">
        <f>(AI80)+(AI81)</f>
        <v>0</v>
      </c>
      <c r="AJ82" s="6">
        <f>(AJ80)+(AJ81)</f>
        <v>0</v>
      </c>
      <c r="AK82" s="25">
        <f>(AI82)-(AJ82)</f>
        <v>0</v>
      </c>
      <c r="AL82" s="24">
        <f>(AF82)+(AI82)</f>
        <v>0</v>
      </c>
      <c r="AM82" s="6">
        <f>(AG82)+(AJ82)</f>
        <v>0</v>
      </c>
      <c r="AN82" s="25">
        <f>(AL82)-(AM82)</f>
        <v>0</v>
      </c>
      <c r="AO82" s="24">
        <f>(AO80)+(AO81)</f>
        <v>250</v>
      </c>
      <c r="AP82" s="6">
        <f>(AP80)+(AP81)</f>
        <v>800</v>
      </c>
      <c r="AQ82" s="25">
        <f>(AO82)-(AP82)</f>
        <v>-550</v>
      </c>
      <c r="AR82" s="24">
        <f>(AR80)+(AR81)</f>
        <v>0</v>
      </c>
      <c r="AS82" s="6">
        <f>(AS80)+(AS81)</f>
        <v>0</v>
      </c>
      <c r="AT82" s="25">
        <f>(AR82)-(AS82)</f>
        <v>0</v>
      </c>
      <c r="AU82" s="24">
        <f>(AU80)+(AU81)</f>
        <v>1876.05</v>
      </c>
      <c r="AV82" s="6">
        <f>(AV80)+(AV81)</f>
        <v>2587</v>
      </c>
      <c r="AW82" s="25">
        <f>(AU82)-(AV82)</f>
        <v>-710.95</v>
      </c>
      <c r="AX82" s="24">
        <f>(AX80)+(AX81)</f>
        <v>0</v>
      </c>
      <c r="AY82" s="6">
        <f>(AY80)+(AY81)</f>
        <v>0</v>
      </c>
      <c r="AZ82" s="25">
        <f>(AX82)-(AY82)</f>
        <v>0</v>
      </c>
      <c r="BA82" s="24">
        <f>(BA80)+(BA81)</f>
        <v>0</v>
      </c>
      <c r="BB82" s="6">
        <f>(BB80)+(BB81)</f>
        <v>0</v>
      </c>
      <c r="BC82" s="25">
        <f>(BA82)-(BB82)</f>
        <v>0</v>
      </c>
      <c r="BD82" s="24">
        <f>(BD80)+(BD81)</f>
        <v>0</v>
      </c>
      <c r="BE82" s="6">
        <f>(BE80)+(BE81)</f>
        <v>0</v>
      </c>
      <c r="BF82" s="25">
        <f>(BD82)-(BE82)</f>
        <v>0</v>
      </c>
      <c r="BG82" s="24">
        <f>(((((((((B82)+(Q82))+(AC82))+(AL82))+(AO82))+(AR82))+(AU82))+(AX82))+(BA82))+(BD82)</f>
        <v>2626.05</v>
      </c>
      <c r="BH82" s="6">
        <f>(((((((((C82)+(R82))+(AD82))+(AM82))+(AP82))+(AS82))+(AV82))+(AY82))+(BB82))+(BE82)</f>
        <v>3387</v>
      </c>
      <c r="BI82" s="25">
        <f>(BG82)-(BH82)</f>
        <v>-760.94999999999982</v>
      </c>
      <c r="BJ82" s="24">
        <f>(BJ80)+(BJ81)</f>
        <v>0</v>
      </c>
      <c r="BK82" s="6">
        <f>(BK80)+(BK81)</f>
        <v>0</v>
      </c>
      <c r="BL82" s="25">
        <f>(BJ82)-(BK82)</f>
        <v>0</v>
      </c>
      <c r="BM82" s="24">
        <f>(BM80)+(BM81)</f>
        <v>0</v>
      </c>
      <c r="BN82" s="6">
        <f>(BN80)+(BN81)</f>
        <v>0</v>
      </c>
      <c r="BO82" s="25">
        <f>(BM82)-(BN82)</f>
        <v>0</v>
      </c>
      <c r="BP82" s="24">
        <f>(BP80)+(BP81)</f>
        <v>0</v>
      </c>
      <c r="BQ82" s="6">
        <f>(BQ80)+(BQ81)</f>
        <v>0</v>
      </c>
      <c r="BR82" s="25">
        <f>(BP82)-(BQ82)</f>
        <v>0</v>
      </c>
      <c r="BS82" s="24">
        <f>(BS80)+(BS81)</f>
        <v>0</v>
      </c>
      <c r="BT82" s="6">
        <f>(BT80)+(BT81)</f>
        <v>0</v>
      </c>
      <c r="BU82" s="25">
        <f>(BS82)-(BT82)</f>
        <v>0</v>
      </c>
      <c r="BV82" s="24">
        <f>(BV80)+(BV81)</f>
        <v>0</v>
      </c>
      <c r="BW82" s="6">
        <f>(BW80)+(BW81)</f>
        <v>0</v>
      </c>
      <c r="BX82" s="25">
        <f>(BV82)-(BW82)</f>
        <v>0</v>
      </c>
      <c r="BY82" s="24">
        <f>(BY80)+(BY81)</f>
        <v>0</v>
      </c>
      <c r="BZ82" s="6">
        <f>(BZ80)+(BZ81)</f>
        <v>0</v>
      </c>
      <c r="CA82" s="25">
        <f>(BY82)-(BZ82)</f>
        <v>0</v>
      </c>
      <c r="CB82" s="24">
        <f>((((BM82)+(BP82))+(BS82))+(BV82))+(BY82)</f>
        <v>0</v>
      </c>
      <c r="CC82" s="6">
        <f>((((BN82)+(BQ82))+(BT82))+(BW82))+(BZ82)</f>
        <v>0</v>
      </c>
      <c r="CD82" s="25">
        <f>(CB82)-(CC82)</f>
        <v>0</v>
      </c>
      <c r="CE82" s="24">
        <f>((BG82)+(BJ82))+(CB82)</f>
        <v>2626.05</v>
      </c>
      <c r="CF82" s="6">
        <f>((BH82)+(BK82))+(CC82)</f>
        <v>3387</v>
      </c>
      <c r="CG82" s="25">
        <f>(CE82)-(CF82)</f>
        <v>-760.94999999999982</v>
      </c>
    </row>
    <row r="83" spans="1:85" x14ac:dyDescent="0.2">
      <c r="A83" s="3"/>
      <c r="B83" s="26"/>
      <c r="C83" s="9"/>
      <c r="D83" s="27"/>
      <c r="E83" s="26"/>
      <c r="F83" s="9"/>
      <c r="G83" s="27"/>
      <c r="H83" s="26"/>
      <c r="I83" s="9"/>
      <c r="J83" s="27"/>
      <c r="K83" s="26"/>
      <c r="L83" s="9"/>
      <c r="M83" s="27"/>
      <c r="N83" s="26"/>
      <c r="O83" s="9"/>
      <c r="P83" s="27"/>
      <c r="Q83" s="26"/>
      <c r="R83" s="9"/>
      <c r="S83" s="27"/>
      <c r="T83" s="26"/>
      <c r="U83" s="9"/>
      <c r="V83" s="27"/>
      <c r="W83" s="26"/>
      <c r="X83" s="9"/>
      <c r="Y83" s="27"/>
      <c r="Z83" s="26"/>
      <c r="AA83" s="9"/>
      <c r="AB83" s="27"/>
      <c r="AC83" s="26"/>
      <c r="AD83" s="9"/>
      <c r="AE83" s="27"/>
      <c r="AF83" s="26"/>
      <c r="AG83" s="9"/>
      <c r="AH83" s="27"/>
      <c r="AI83" s="26"/>
      <c r="AJ83" s="9"/>
      <c r="AK83" s="27"/>
      <c r="AL83" s="26"/>
      <c r="AM83" s="9"/>
      <c r="AN83" s="27"/>
      <c r="AO83" s="26"/>
      <c r="AP83" s="9"/>
      <c r="AQ83" s="27"/>
      <c r="AR83" s="26"/>
      <c r="AS83" s="9"/>
      <c r="AT83" s="27"/>
      <c r="AU83" s="26"/>
      <c r="AV83" s="9"/>
      <c r="AW83" s="27"/>
      <c r="AX83" s="26"/>
      <c r="AY83" s="9"/>
      <c r="AZ83" s="27"/>
      <c r="BA83" s="26"/>
      <c r="BB83" s="9"/>
      <c r="BC83" s="27"/>
      <c r="BD83" s="26"/>
      <c r="BE83" s="9"/>
      <c r="BF83" s="27"/>
      <c r="BG83" s="26"/>
      <c r="BH83" s="9"/>
      <c r="BI83" s="27"/>
      <c r="BJ83" s="26"/>
      <c r="BK83" s="9"/>
      <c r="BL83" s="27"/>
      <c r="BM83" s="26"/>
      <c r="BN83" s="9"/>
      <c r="BO83" s="27"/>
      <c r="BP83" s="26"/>
      <c r="BQ83" s="9"/>
      <c r="BR83" s="27"/>
      <c r="BS83" s="26"/>
      <c r="BT83" s="9"/>
      <c r="BU83" s="27"/>
      <c r="BV83" s="26"/>
      <c r="BW83" s="9"/>
      <c r="BX83" s="27"/>
      <c r="BY83" s="26"/>
      <c r="BZ83" s="9"/>
      <c r="CA83" s="27"/>
      <c r="CB83" s="26"/>
      <c r="CC83" s="9"/>
      <c r="CD83" s="27"/>
      <c r="CE83" s="26"/>
      <c r="CF83" s="9"/>
      <c r="CG83" s="27"/>
    </row>
    <row r="84" spans="1:85" x14ac:dyDescent="0.2">
      <c r="A84" s="3" t="s">
        <v>45</v>
      </c>
      <c r="B84" s="19"/>
      <c r="C84" s="16"/>
      <c r="D84" s="23"/>
      <c r="E84" s="21"/>
      <c r="F84" s="22"/>
      <c r="G84" s="23"/>
      <c r="H84" s="19"/>
      <c r="I84" s="16"/>
      <c r="J84" s="23"/>
      <c r="K84" s="19"/>
      <c r="L84" s="16"/>
      <c r="M84" s="23"/>
      <c r="N84" s="21"/>
      <c r="O84" s="22"/>
      <c r="P84" s="23"/>
      <c r="Q84" s="19"/>
      <c r="R84" s="16"/>
      <c r="S84" s="23"/>
      <c r="T84" s="19"/>
      <c r="U84" s="16"/>
      <c r="V84" s="23"/>
      <c r="W84" s="21"/>
      <c r="X84" s="22"/>
      <c r="Y84" s="23"/>
      <c r="Z84" s="19"/>
      <c r="AA84" s="16"/>
      <c r="AB84" s="23"/>
      <c r="AC84" s="21"/>
      <c r="AD84" s="22"/>
      <c r="AE84" s="23"/>
      <c r="AF84" s="19"/>
      <c r="AG84" s="16"/>
      <c r="AH84" s="23"/>
      <c r="AI84" s="21"/>
      <c r="AJ84" s="22"/>
      <c r="AK84" s="23"/>
      <c r="AL84" s="19"/>
      <c r="AM84" s="16"/>
      <c r="AN84" s="23"/>
      <c r="AO84" s="21"/>
      <c r="AP84" s="22"/>
      <c r="AQ84" s="23"/>
      <c r="AR84" s="19"/>
      <c r="AS84" s="16"/>
      <c r="AT84" s="23"/>
      <c r="AU84" s="21"/>
      <c r="AV84" s="22"/>
      <c r="AW84" s="23"/>
      <c r="AX84" s="19"/>
      <c r="AY84" s="16"/>
      <c r="AZ84" s="23"/>
      <c r="BA84" s="21"/>
      <c r="BB84" s="22"/>
      <c r="BC84" s="23"/>
      <c r="BD84" s="19"/>
      <c r="BE84" s="16"/>
      <c r="BF84" s="23"/>
      <c r="BG84" s="21"/>
      <c r="BH84" s="22"/>
      <c r="BI84" s="23"/>
      <c r="BJ84" s="21">
        <f>28</f>
        <v>28</v>
      </c>
      <c r="BK84" s="16"/>
      <c r="BL84" s="23">
        <f>(BJ84)-(BK84)</f>
        <v>28</v>
      </c>
      <c r="BM84" s="19"/>
      <c r="BN84" s="16"/>
      <c r="BO84" s="23"/>
      <c r="BP84" s="19"/>
      <c r="BQ84" s="16"/>
      <c r="BR84" s="23"/>
      <c r="BS84" s="19"/>
      <c r="BT84" s="16"/>
      <c r="BU84" s="23"/>
      <c r="BV84" s="19"/>
      <c r="BW84" s="16"/>
      <c r="BX84" s="23"/>
      <c r="BY84" s="19"/>
      <c r="BZ84" s="16"/>
      <c r="CA84" s="23"/>
      <c r="CB84" s="21"/>
      <c r="CC84" s="22"/>
      <c r="CD84" s="23"/>
      <c r="CE84" s="21">
        <f>((BG84)+(BJ84))+(CB84)</f>
        <v>28</v>
      </c>
      <c r="CF84" s="22"/>
      <c r="CG84" s="23">
        <f t="shared" ref="CG84:CG93" si="22">(CE84)-(CF84)</f>
        <v>28</v>
      </c>
    </row>
    <row r="85" spans="1:85" x14ac:dyDescent="0.2">
      <c r="A85" s="3" t="s">
        <v>44</v>
      </c>
      <c r="B85" s="19"/>
      <c r="C85" s="16"/>
      <c r="D85" s="23"/>
      <c r="E85" s="21"/>
      <c r="F85" s="22"/>
      <c r="G85" s="23"/>
      <c r="H85" s="19"/>
      <c r="I85" s="16"/>
      <c r="J85" s="23"/>
      <c r="K85" s="19"/>
      <c r="L85" s="16"/>
      <c r="M85" s="23"/>
      <c r="N85" s="21"/>
      <c r="O85" s="22"/>
      <c r="P85" s="23"/>
      <c r="Q85" s="19"/>
      <c r="R85" s="16"/>
      <c r="S85" s="23"/>
      <c r="T85" s="19"/>
      <c r="U85" s="16"/>
      <c r="V85" s="23"/>
      <c r="W85" s="21"/>
      <c r="X85" s="22"/>
      <c r="Y85" s="23"/>
      <c r="Z85" s="19"/>
      <c r="AA85" s="16"/>
      <c r="AB85" s="23"/>
      <c r="AC85" s="21"/>
      <c r="AD85" s="22"/>
      <c r="AE85" s="23"/>
      <c r="AF85" s="19"/>
      <c r="AG85" s="16"/>
      <c r="AH85" s="23"/>
      <c r="AI85" s="21"/>
      <c r="AJ85" s="22"/>
      <c r="AK85" s="23"/>
      <c r="AL85" s="19"/>
      <c r="AM85" s="16"/>
      <c r="AN85" s="23"/>
      <c r="AO85" s="21"/>
      <c r="AP85" s="22"/>
      <c r="AQ85" s="23"/>
      <c r="AR85" s="19"/>
      <c r="AS85" s="16"/>
      <c r="AT85" s="23"/>
      <c r="AU85" s="21"/>
      <c r="AV85" s="22"/>
      <c r="AW85" s="23"/>
      <c r="AX85" s="19"/>
      <c r="AY85" s="16"/>
      <c r="AZ85" s="23"/>
      <c r="BA85" s="21"/>
      <c r="BB85" s="22"/>
      <c r="BC85" s="23"/>
      <c r="BD85" s="19"/>
      <c r="BE85" s="16"/>
      <c r="BF85" s="23"/>
      <c r="BG85" s="21"/>
      <c r="BH85" s="22"/>
      <c r="BI85" s="23"/>
      <c r="BJ85" s="21">
        <f>386.69</f>
        <v>386.69</v>
      </c>
      <c r="BK85" s="16"/>
      <c r="BL85" s="23">
        <f>(BJ85)-(BK85)</f>
        <v>386.69</v>
      </c>
      <c r="BM85" s="19"/>
      <c r="BN85" s="16"/>
      <c r="BO85" s="23"/>
      <c r="BP85" s="19"/>
      <c r="BQ85" s="16"/>
      <c r="BR85" s="23"/>
      <c r="BS85" s="19"/>
      <c r="BT85" s="16"/>
      <c r="BU85" s="23"/>
      <c r="BV85" s="19"/>
      <c r="BW85" s="16"/>
      <c r="BX85" s="23"/>
      <c r="BY85" s="19"/>
      <c r="BZ85" s="16"/>
      <c r="CA85" s="23"/>
      <c r="CB85" s="21"/>
      <c r="CC85" s="22"/>
      <c r="CD85" s="23"/>
      <c r="CE85" s="21">
        <f>((BG85)+(BJ85))+(CB85)</f>
        <v>386.69</v>
      </c>
      <c r="CF85" s="22"/>
      <c r="CG85" s="23">
        <f t="shared" si="22"/>
        <v>386.69</v>
      </c>
    </row>
    <row r="86" spans="1:85" x14ac:dyDescent="0.2">
      <c r="A86" s="3" t="s">
        <v>135</v>
      </c>
      <c r="B86" s="19"/>
      <c r="C86" s="16"/>
      <c r="D86" s="23"/>
      <c r="E86" s="21"/>
      <c r="F86" s="22"/>
      <c r="G86" s="23"/>
      <c r="H86" s="19"/>
      <c r="I86" s="16"/>
      <c r="J86" s="23"/>
      <c r="K86" s="19"/>
      <c r="L86" s="16"/>
      <c r="M86" s="23"/>
      <c r="N86" s="21"/>
      <c r="O86" s="22"/>
      <c r="P86" s="23"/>
      <c r="Q86" s="19"/>
      <c r="R86" s="16"/>
      <c r="S86" s="23"/>
      <c r="T86" s="19"/>
      <c r="U86" s="16"/>
      <c r="V86" s="23"/>
      <c r="W86" s="21"/>
      <c r="X86" s="22"/>
      <c r="Y86" s="23"/>
      <c r="Z86" s="19"/>
      <c r="AA86" s="16"/>
      <c r="AB86" s="23"/>
      <c r="AC86" s="21"/>
      <c r="AD86" s="22"/>
      <c r="AE86" s="23"/>
      <c r="AF86" s="19"/>
      <c r="AG86" s="16"/>
      <c r="AH86" s="23"/>
      <c r="AI86" s="21"/>
      <c r="AJ86" s="22"/>
      <c r="AK86" s="23"/>
      <c r="AL86" s="19"/>
      <c r="AM86" s="16"/>
      <c r="AN86" s="23"/>
      <c r="AO86" s="21"/>
      <c r="AP86" s="22"/>
      <c r="AQ86" s="23"/>
      <c r="AR86" s="19"/>
      <c r="AS86" s="16"/>
      <c r="AT86" s="23"/>
      <c r="AU86" s="21"/>
      <c r="AV86" s="22"/>
      <c r="AW86" s="23"/>
      <c r="AX86" s="19"/>
      <c r="AY86" s="16"/>
      <c r="AZ86" s="23"/>
      <c r="BA86" s="21"/>
      <c r="BB86" s="22"/>
      <c r="BC86" s="23"/>
      <c r="BD86" s="19"/>
      <c r="BE86" s="16"/>
      <c r="BF86" s="23"/>
      <c r="BG86" s="21"/>
      <c r="BH86" s="22"/>
      <c r="BI86" s="23"/>
      <c r="BJ86" s="19"/>
      <c r="BK86" s="16"/>
      <c r="BL86" s="23"/>
      <c r="BM86" s="19"/>
      <c r="BN86" s="16"/>
      <c r="BO86" s="23"/>
      <c r="BP86" s="19"/>
      <c r="BQ86" s="22">
        <f>350</f>
        <v>350</v>
      </c>
      <c r="BR86" s="23">
        <f>(BP86)-(BQ86)</f>
        <v>-350</v>
      </c>
      <c r="BS86" s="19"/>
      <c r="BT86" s="16"/>
      <c r="BU86" s="23"/>
      <c r="BV86" s="19"/>
      <c r="BW86" s="16"/>
      <c r="BX86" s="23"/>
      <c r="BY86" s="19"/>
      <c r="BZ86" s="16"/>
      <c r="CA86" s="23"/>
      <c r="CB86" s="21"/>
      <c r="CC86" s="22">
        <f>((((BN86)+(BQ86))+(BT86))+(BW86))+(BZ86)</f>
        <v>350</v>
      </c>
      <c r="CD86" s="23">
        <f>(CB86)-(CC86)</f>
        <v>-350</v>
      </c>
      <c r="CE86" s="21"/>
      <c r="CF86" s="22">
        <f t="shared" ref="CF86:CF91" si="23">((BH86)+(BK86))+(CC86)</f>
        <v>350</v>
      </c>
      <c r="CG86" s="23">
        <f t="shared" si="22"/>
        <v>-350</v>
      </c>
    </row>
    <row r="87" spans="1:85" x14ac:dyDescent="0.2">
      <c r="A87" s="3" t="s">
        <v>43</v>
      </c>
      <c r="B87" s="19"/>
      <c r="C87" s="16"/>
      <c r="D87" s="23"/>
      <c r="E87" s="21"/>
      <c r="F87" s="22"/>
      <c r="G87" s="23"/>
      <c r="H87" s="19"/>
      <c r="I87" s="16"/>
      <c r="J87" s="23"/>
      <c r="K87" s="19"/>
      <c r="L87" s="16"/>
      <c r="M87" s="23"/>
      <c r="N87" s="21"/>
      <c r="O87" s="22"/>
      <c r="P87" s="23"/>
      <c r="Q87" s="19"/>
      <c r="R87" s="16"/>
      <c r="S87" s="23"/>
      <c r="T87" s="19"/>
      <c r="U87" s="16"/>
      <c r="V87" s="23"/>
      <c r="W87" s="21"/>
      <c r="X87" s="22"/>
      <c r="Y87" s="23"/>
      <c r="Z87" s="19"/>
      <c r="AA87" s="16"/>
      <c r="AB87" s="23"/>
      <c r="AC87" s="21"/>
      <c r="AD87" s="22"/>
      <c r="AE87" s="23"/>
      <c r="AF87" s="19"/>
      <c r="AG87" s="16"/>
      <c r="AH87" s="23"/>
      <c r="AI87" s="21"/>
      <c r="AJ87" s="22"/>
      <c r="AK87" s="23"/>
      <c r="AL87" s="19"/>
      <c r="AM87" s="16"/>
      <c r="AN87" s="23"/>
      <c r="AO87" s="21"/>
      <c r="AP87" s="22"/>
      <c r="AQ87" s="23"/>
      <c r="AR87" s="19"/>
      <c r="AS87" s="16"/>
      <c r="AT87" s="23"/>
      <c r="AU87" s="21"/>
      <c r="AV87" s="22"/>
      <c r="AW87" s="23"/>
      <c r="AX87" s="19"/>
      <c r="AY87" s="16"/>
      <c r="AZ87" s="23"/>
      <c r="BA87" s="21"/>
      <c r="BB87" s="22"/>
      <c r="BC87" s="23"/>
      <c r="BD87" s="19"/>
      <c r="BE87" s="16"/>
      <c r="BF87" s="23"/>
      <c r="BG87" s="21"/>
      <c r="BH87" s="22"/>
      <c r="BI87" s="23"/>
      <c r="BJ87" s="21">
        <f>440</f>
        <v>440</v>
      </c>
      <c r="BK87" s="22">
        <f>560</f>
        <v>560</v>
      </c>
      <c r="BL87" s="23">
        <f t="shared" ref="BL87:BL93" si="24">(BJ87)-(BK87)</f>
        <v>-120</v>
      </c>
      <c r="BM87" s="19"/>
      <c r="BN87" s="16"/>
      <c r="BO87" s="23"/>
      <c r="BP87" s="19"/>
      <c r="BQ87" s="16"/>
      <c r="BR87" s="23"/>
      <c r="BS87" s="19"/>
      <c r="BT87" s="16"/>
      <c r="BU87" s="23"/>
      <c r="BV87" s="19"/>
      <c r="BW87" s="16"/>
      <c r="BX87" s="23"/>
      <c r="BY87" s="19"/>
      <c r="BZ87" s="16"/>
      <c r="CA87" s="23"/>
      <c r="CB87" s="21"/>
      <c r="CC87" s="22"/>
      <c r="CD87" s="23"/>
      <c r="CE87" s="21">
        <f t="shared" ref="CE87:CE93" si="25">((BG87)+(BJ87))+(CB87)</f>
        <v>440</v>
      </c>
      <c r="CF87" s="22">
        <f t="shared" si="23"/>
        <v>560</v>
      </c>
      <c r="CG87" s="23">
        <f t="shared" si="22"/>
        <v>-120</v>
      </c>
    </row>
    <row r="88" spans="1:85" x14ac:dyDescent="0.2">
      <c r="A88" s="3" t="s">
        <v>42</v>
      </c>
      <c r="B88" s="19"/>
      <c r="C88" s="16"/>
      <c r="D88" s="23"/>
      <c r="E88" s="21"/>
      <c r="F88" s="22"/>
      <c r="G88" s="23"/>
      <c r="H88" s="19"/>
      <c r="I88" s="16"/>
      <c r="J88" s="23"/>
      <c r="K88" s="19"/>
      <c r="L88" s="16"/>
      <c r="M88" s="23"/>
      <c r="N88" s="21"/>
      <c r="O88" s="22"/>
      <c r="P88" s="23"/>
      <c r="Q88" s="19"/>
      <c r="R88" s="16"/>
      <c r="S88" s="23"/>
      <c r="T88" s="19">
        <f>368</f>
        <v>368</v>
      </c>
      <c r="U88" s="16">
        <f>900</f>
        <v>900</v>
      </c>
      <c r="V88" s="23">
        <f>(T88)-(U88)</f>
        <v>-532</v>
      </c>
      <c r="W88" s="21"/>
      <c r="X88" s="22"/>
      <c r="Y88" s="23"/>
      <c r="Z88" s="19"/>
      <c r="AA88" s="16"/>
      <c r="AB88" s="23"/>
      <c r="AC88" s="21">
        <f>((T88)+(W88))+(Z88)</f>
        <v>368</v>
      </c>
      <c r="AD88" s="22">
        <f>((U88)+(X88))+(AA88)</f>
        <v>900</v>
      </c>
      <c r="AE88" s="23">
        <f>(AC88)-(AD88)</f>
        <v>-532</v>
      </c>
      <c r="AF88" s="19"/>
      <c r="AG88" s="16"/>
      <c r="AH88" s="23"/>
      <c r="AI88" s="21"/>
      <c r="AJ88" s="22"/>
      <c r="AK88" s="23"/>
      <c r="AL88" s="19"/>
      <c r="AM88" s="16"/>
      <c r="AN88" s="23"/>
      <c r="AO88" s="21"/>
      <c r="AP88" s="22"/>
      <c r="AQ88" s="23"/>
      <c r="AR88" s="19"/>
      <c r="AS88" s="16"/>
      <c r="AT88" s="23"/>
      <c r="AU88" s="21"/>
      <c r="AV88" s="22"/>
      <c r="AW88" s="23"/>
      <c r="AX88" s="19"/>
      <c r="AY88" s="16"/>
      <c r="AZ88" s="23"/>
      <c r="BA88" s="21"/>
      <c r="BB88" s="22"/>
      <c r="BC88" s="23"/>
      <c r="BD88" s="19"/>
      <c r="BE88" s="16"/>
      <c r="BF88" s="23"/>
      <c r="BG88" s="21">
        <f>(((((((((B88)+(Q88))+(AC88))+(AL88))+(AO88))+(AR88))+(AU88))+(AX88))+(BA88))+(BD88)</f>
        <v>368</v>
      </c>
      <c r="BH88" s="22">
        <f>(((((((((C88)+(R88))+(AD88))+(AM88))+(AP88))+(AS88))+(AV88))+(AY88))+(BB88))+(BE88)</f>
        <v>900</v>
      </c>
      <c r="BI88" s="23">
        <f t="shared" ref="BI88:BI93" si="26">(BG88)-(BH88)</f>
        <v>-532</v>
      </c>
      <c r="BJ88" s="21">
        <f>144</f>
        <v>144</v>
      </c>
      <c r="BK88" s="16"/>
      <c r="BL88" s="23">
        <f t="shared" si="24"/>
        <v>144</v>
      </c>
      <c r="BM88" s="19"/>
      <c r="BN88" s="16"/>
      <c r="BO88" s="23"/>
      <c r="BP88" s="19"/>
      <c r="BQ88" s="16"/>
      <c r="BR88" s="23"/>
      <c r="BS88" s="19"/>
      <c r="BT88" s="16"/>
      <c r="BU88" s="23"/>
      <c r="BV88" s="19"/>
      <c r="BW88" s="16"/>
      <c r="BX88" s="23"/>
      <c r="BY88" s="19"/>
      <c r="BZ88" s="16"/>
      <c r="CA88" s="23"/>
      <c r="CB88" s="21"/>
      <c r="CC88" s="22"/>
      <c r="CD88" s="23"/>
      <c r="CE88" s="21">
        <f t="shared" si="25"/>
        <v>512</v>
      </c>
      <c r="CF88" s="22">
        <f t="shared" si="23"/>
        <v>900</v>
      </c>
      <c r="CG88" s="23">
        <f t="shared" si="22"/>
        <v>-388</v>
      </c>
    </row>
    <row r="89" spans="1:85" x14ac:dyDescent="0.2">
      <c r="A89" s="3" t="s">
        <v>41</v>
      </c>
      <c r="B89" s="19"/>
      <c r="C89" s="16"/>
      <c r="D89" s="23"/>
      <c r="E89" s="21"/>
      <c r="F89" s="22"/>
      <c r="G89" s="23"/>
      <c r="H89" s="19">
        <f>8.8</f>
        <v>8.8000000000000007</v>
      </c>
      <c r="I89" s="16"/>
      <c r="J89" s="23">
        <f>(H89)-(I89)</f>
        <v>8.8000000000000007</v>
      </c>
      <c r="K89" s="19"/>
      <c r="L89" s="16"/>
      <c r="M89" s="23"/>
      <c r="N89" s="21"/>
      <c r="O89" s="22"/>
      <c r="P89" s="23"/>
      <c r="Q89" s="19">
        <f>(((E89)+(H89))+(K89))+(N89)</f>
        <v>8.8000000000000007</v>
      </c>
      <c r="R89" s="16"/>
      <c r="S89" s="23">
        <f>(Q89)-(R89)</f>
        <v>8.8000000000000007</v>
      </c>
      <c r="T89" s="19"/>
      <c r="U89" s="16"/>
      <c r="V89" s="23"/>
      <c r="W89" s="21"/>
      <c r="X89" s="22"/>
      <c r="Y89" s="23"/>
      <c r="Z89" s="19"/>
      <c r="AA89" s="16"/>
      <c r="AB89" s="23"/>
      <c r="AC89" s="21"/>
      <c r="AD89" s="22"/>
      <c r="AE89" s="23"/>
      <c r="AF89" s="19"/>
      <c r="AG89" s="16"/>
      <c r="AH89" s="23"/>
      <c r="AI89" s="21"/>
      <c r="AJ89" s="22"/>
      <c r="AK89" s="23"/>
      <c r="AL89" s="19"/>
      <c r="AM89" s="16"/>
      <c r="AN89" s="23"/>
      <c r="AO89" s="21"/>
      <c r="AP89" s="22"/>
      <c r="AQ89" s="23"/>
      <c r="AR89" s="19"/>
      <c r="AS89" s="16"/>
      <c r="AT89" s="23"/>
      <c r="AU89" s="21"/>
      <c r="AV89" s="22"/>
      <c r="AW89" s="23"/>
      <c r="AX89" s="19"/>
      <c r="AY89" s="16"/>
      <c r="AZ89" s="23"/>
      <c r="BA89" s="21"/>
      <c r="BB89" s="22"/>
      <c r="BC89" s="23"/>
      <c r="BD89" s="19"/>
      <c r="BE89" s="16"/>
      <c r="BF89" s="23"/>
      <c r="BG89" s="21">
        <f>(((((((((B89)+(Q89))+(AC89))+(AL89))+(AO89))+(AR89))+(AU89))+(AX89))+(BA89))+(BD89)</f>
        <v>8.8000000000000007</v>
      </c>
      <c r="BH89" s="22"/>
      <c r="BI89" s="23">
        <f t="shared" si="26"/>
        <v>8.8000000000000007</v>
      </c>
      <c r="BJ89" s="21">
        <f>331.93</f>
        <v>331.93</v>
      </c>
      <c r="BK89" s="22">
        <f>10</f>
        <v>10</v>
      </c>
      <c r="BL89" s="23">
        <f t="shared" si="24"/>
        <v>321.93</v>
      </c>
      <c r="BM89" s="19"/>
      <c r="BN89" s="16"/>
      <c r="BO89" s="23"/>
      <c r="BP89" s="19"/>
      <c r="BQ89" s="16"/>
      <c r="BR89" s="23"/>
      <c r="BS89" s="19"/>
      <c r="BT89" s="16"/>
      <c r="BU89" s="23"/>
      <c r="BV89" s="19"/>
      <c r="BW89" s="16"/>
      <c r="BX89" s="23"/>
      <c r="BY89" s="19"/>
      <c r="BZ89" s="16"/>
      <c r="CA89" s="23"/>
      <c r="CB89" s="21"/>
      <c r="CC89" s="22"/>
      <c r="CD89" s="23"/>
      <c r="CE89" s="21">
        <f t="shared" si="25"/>
        <v>340.73</v>
      </c>
      <c r="CF89" s="22">
        <f t="shared" si="23"/>
        <v>10</v>
      </c>
      <c r="CG89" s="23">
        <f t="shared" si="22"/>
        <v>330.73</v>
      </c>
    </row>
    <row r="90" spans="1:85" x14ac:dyDescent="0.2">
      <c r="A90" s="3" t="s">
        <v>40</v>
      </c>
      <c r="B90" s="21"/>
      <c r="C90" s="16"/>
      <c r="D90" s="23"/>
      <c r="E90" s="21">
        <f>2.02</f>
        <v>2.02</v>
      </c>
      <c r="F90" s="22"/>
      <c r="G90" s="23">
        <f>(E90)-(F90)</f>
        <v>2.02</v>
      </c>
      <c r="H90" s="21">
        <f>167.87</f>
        <v>167.87</v>
      </c>
      <c r="I90" s="16"/>
      <c r="J90" s="23">
        <f>(H90)-(I90)</f>
        <v>167.87</v>
      </c>
      <c r="K90" s="21"/>
      <c r="L90" s="16"/>
      <c r="M90" s="23"/>
      <c r="N90" s="21"/>
      <c r="O90" s="22"/>
      <c r="P90" s="23"/>
      <c r="Q90" s="21">
        <f>(((E90)+(H90))+(K90))+(N90)</f>
        <v>169.89000000000001</v>
      </c>
      <c r="R90" s="16"/>
      <c r="S90" s="23">
        <f>(Q90)-(R90)</f>
        <v>169.89000000000001</v>
      </c>
      <c r="T90" s="21"/>
      <c r="U90" s="16"/>
      <c r="V90" s="23"/>
      <c r="W90" s="21"/>
      <c r="X90" s="22"/>
      <c r="Y90" s="23"/>
      <c r="Z90" s="21"/>
      <c r="AA90" s="16"/>
      <c r="AB90" s="23"/>
      <c r="AC90" s="21"/>
      <c r="AD90" s="22"/>
      <c r="AE90" s="23"/>
      <c r="AF90" s="21"/>
      <c r="AG90" s="16"/>
      <c r="AH90" s="23"/>
      <c r="AI90" s="21"/>
      <c r="AJ90" s="22"/>
      <c r="AK90" s="23"/>
      <c r="AL90" s="21"/>
      <c r="AM90" s="16"/>
      <c r="AN90" s="23"/>
      <c r="AO90" s="21"/>
      <c r="AP90" s="22"/>
      <c r="AQ90" s="23"/>
      <c r="AR90" s="21"/>
      <c r="AS90" s="16"/>
      <c r="AT90" s="23"/>
      <c r="AU90" s="21"/>
      <c r="AV90" s="22"/>
      <c r="AW90" s="23"/>
      <c r="AX90" s="21">
        <f>16.56</f>
        <v>16.559999999999999</v>
      </c>
      <c r="AY90" s="16"/>
      <c r="AZ90" s="23">
        <f>(AX90)-(AY90)</f>
        <v>16.559999999999999</v>
      </c>
      <c r="BA90" s="21"/>
      <c r="BB90" s="22"/>
      <c r="BC90" s="23"/>
      <c r="BD90" s="21">
        <f>2.36</f>
        <v>2.36</v>
      </c>
      <c r="BE90" s="16"/>
      <c r="BF90" s="23">
        <f>(BD90)-(BE90)</f>
        <v>2.36</v>
      </c>
      <c r="BG90" s="21">
        <f>(((((((((B90)+(Q90))+(AC90))+(AL90))+(AO90))+(AR90))+(AU90))+(AX90))+(BA90))+(BD90)</f>
        <v>188.81000000000003</v>
      </c>
      <c r="BH90" s="22"/>
      <c r="BI90" s="23">
        <f t="shared" si="26"/>
        <v>188.81000000000003</v>
      </c>
      <c r="BJ90" s="21">
        <f>1615.1</f>
        <v>1615.1</v>
      </c>
      <c r="BK90" s="22">
        <f>10</f>
        <v>10</v>
      </c>
      <c r="BL90" s="23">
        <f t="shared" si="24"/>
        <v>1605.1</v>
      </c>
      <c r="BM90" s="19"/>
      <c r="BN90" s="16"/>
      <c r="BO90" s="23"/>
      <c r="BP90" s="21">
        <f>747.54</f>
        <v>747.54</v>
      </c>
      <c r="BQ90" s="16"/>
      <c r="BR90" s="23">
        <f>(BP90)-(BQ90)</f>
        <v>747.54</v>
      </c>
      <c r="BS90" s="19"/>
      <c r="BT90" s="16"/>
      <c r="BU90" s="23"/>
      <c r="BV90" s="21">
        <f>72.09</f>
        <v>72.09</v>
      </c>
      <c r="BW90" s="16"/>
      <c r="BX90" s="23">
        <f>(BV90)-(BW90)</f>
        <v>72.09</v>
      </c>
      <c r="BY90" s="21">
        <f>6.74</f>
        <v>6.74</v>
      </c>
      <c r="BZ90" s="22">
        <f>7</f>
        <v>7</v>
      </c>
      <c r="CA90" s="23">
        <f>(BY90)-(BZ90)</f>
        <v>-0.25999999999999979</v>
      </c>
      <c r="CB90" s="21">
        <f>((((BM90)+(BP90))+(BS90))+(BV90))+(BY90)</f>
        <v>826.37</v>
      </c>
      <c r="CC90" s="22">
        <f>((((BN90)+(BQ90))+(BT90))+(BW90))+(BZ90)</f>
        <v>7</v>
      </c>
      <c r="CD90" s="23">
        <f>(CB90)-(CC90)</f>
        <v>819.37</v>
      </c>
      <c r="CE90" s="21">
        <f t="shared" si="25"/>
        <v>2630.2799999999997</v>
      </c>
      <c r="CF90" s="22">
        <f t="shared" si="23"/>
        <v>17</v>
      </c>
      <c r="CG90" s="23">
        <f t="shared" si="22"/>
        <v>2613.2799999999997</v>
      </c>
    </row>
    <row r="91" spans="1:85" x14ac:dyDescent="0.2">
      <c r="A91" s="3" t="s">
        <v>39</v>
      </c>
      <c r="B91" s="21"/>
      <c r="C91" s="16"/>
      <c r="D91" s="23"/>
      <c r="E91" s="21">
        <f>60</f>
        <v>60</v>
      </c>
      <c r="F91" s="22">
        <f>325</f>
        <v>325</v>
      </c>
      <c r="G91" s="23">
        <f>(E91)-(F91)</f>
        <v>-265</v>
      </c>
      <c r="H91" s="21">
        <f>396</f>
        <v>396</v>
      </c>
      <c r="I91" s="16"/>
      <c r="J91" s="23">
        <f>(H91)-(I91)</f>
        <v>396</v>
      </c>
      <c r="K91" s="21"/>
      <c r="L91" s="16"/>
      <c r="M91" s="23"/>
      <c r="N91" s="21"/>
      <c r="O91" s="22"/>
      <c r="P91" s="23"/>
      <c r="Q91" s="21">
        <f>(((E91)+(H91))+(K91))+(N91)</f>
        <v>456</v>
      </c>
      <c r="R91" s="16">
        <f>(((F91)+(I91))+(L91))+(O91)</f>
        <v>325</v>
      </c>
      <c r="S91" s="23">
        <f>(Q91)-(R91)</f>
        <v>131</v>
      </c>
      <c r="T91" s="21"/>
      <c r="U91" s="16"/>
      <c r="V91" s="23"/>
      <c r="W91" s="21"/>
      <c r="X91" s="22"/>
      <c r="Y91" s="23"/>
      <c r="Z91" s="21"/>
      <c r="AA91" s="16"/>
      <c r="AB91" s="23"/>
      <c r="AC91" s="21"/>
      <c r="AD91" s="22"/>
      <c r="AE91" s="23"/>
      <c r="AF91" s="21"/>
      <c r="AG91" s="16"/>
      <c r="AH91" s="23"/>
      <c r="AI91" s="21"/>
      <c r="AJ91" s="22"/>
      <c r="AK91" s="23"/>
      <c r="AL91" s="21"/>
      <c r="AM91" s="16"/>
      <c r="AN91" s="23"/>
      <c r="AO91" s="21"/>
      <c r="AP91" s="22"/>
      <c r="AQ91" s="23"/>
      <c r="AR91" s="21"/>
      <c r="AS91" s="16"/>
      <c r="AT91" s="23"/>
      <c r="AU91" s="21"/>
      <c r="AV91" s="22"/>
      <c r="AW91" s="23"/>
      <c r="AX91" s="21"/>
      <c r="AY91" s="16"/>
      <c r="AZ91" s="23"/>
      <c r="BA91" s="21"/>
      <c r="BB91" s="22"/>
      <c r="BC91" s="23"/>
      <c r="BD91" s="21">
        <f>38</f>
        <v>38</v>
      </c>
      <c r="BE91" s="16"/>
      <c r="BF91" s="23">
        <f>(BD91)-(BE91)</f>
        <v>38</v>
      </c>
      <c r="BG91" s="21">
        <f>(((((((((B91)+(Q91))+(AC91))+(AL91))+(AO91))+(AR91))+(AU91))+(AX91))+(BA91))+(BD91)</f>
        <v>494</v>
      </c>
      <c r="BH91" s="22">
        <f>(((((((((C91)+(R91))+(AD91))+(AM91))+(AP91))+(AS91))+(AV91))+(AY91))+(BB91))+(BE91)</f>
        <v>325</v>
      </c>
      <c r="BI91" s="23">
        <f t="shared" si="26"/>
        <v>169</v>
      </c>
      <c r="BJ91" s="21">
        <f>116.97</f>
        <v>116.97</v>
      </c>
      <c r="BK91" s="22">
        <f>1000</f>
        <v>1000</v>
      </c>
      <c r="BL91" s="23">
        <f t="shared" si="24"/>
        <v>-883.03</v>
      </c>
      <c r="BM91" s="19"/>
      <c r="BN91" s="16"/>
      <c r="BO91" s="23"/>
      <c r="BP91" s="21">
        <f>939.03</f>
        <v>939.03</v>
      </c>
      <c r="BQ91" s="22">
        <f>1870</f>
        <v>1870</v>
      </c>
      <c r="BR91" s="23">
        <f>(BP91)-(BQ91)</f>
        <v>-930.97</v>
      </c>
      <c r="BS91" s="19"/>
      <c r="BT91" s="16"/>
      <c r="BU91" s="23"/>
      <c r="BV91" s="19"/>
      <c r="BW91" s="16"/>
      <c r="BX91" s="23"/>
      <c r="BY91" s="19"/>
      <c r="BZ91" s="16"/>
      <c r="CA91" s="23"/>
      <c r="CB91" s="21">
        <f>((((BM91)+(BP91))+(BS91))+(BV91))+(BY91)</f>
        <v>939.03</v>
      </c>
      <c r="CC91" s="22">
        <f>((((BN91)+(BQ91))+(BT91))+(BW91))+(BZ91)</f>
        <v>1870</v>
      </c>
      <c r="CD91" s="23">
        <f>(CB91)-(CC91)</f>
        <v>-930.97</v>
      </c>
      <c r="CE91" s="21">
        <f t="shared" si="25"/>
        <v>1550</v>
      </c>
      <c r="CF91" s="22">
        <f t="shared" si="23"/>
        <v>3195</v>
      </c>
      <c r="CG91" s="23">
        <f t="shared" si="22"/>
        <v>-1645</v>
      </c>
    </row>
    <row r="92" spans="1:85" x14ac:dyDescent="0.2">
      <c r="A92" s="3" t="s">
        <v>38</v>
      </c>
      <c r="B92" s="19"/>
      <c r="C92" s="16"/>
      <c r="D92" s="23"/>
      <c r="E92" s="21">
        <f>24.7</f>
        <v>24.7</v>
      </c>
      <c r="F92" s="22"/>
      <c r="G92" s="23">
        <f>(E92)-(F92)</f>
        <v>24.7</v>
      </c>
      <c r="H92" s="19"/>
      <c r="I92" s="16"/>
      <c r="J92" s="23"/>
      <c r="K92" s="19"/>
      <c r="L92" s="16"/>
      <c r="M92" s="23"/>
      <c r="N92" s="21"/>
      <c r="O92" s="22"/>
      <c r="P92" s="23"/>
      <c r="Q92" s="19">
        <f>(((E92)+(H92))+(K92))+(N92)</f>
        <v>24.7</v>
      </c>
      <c r="R92" s="16"/>
      <c r="S92" s="23">
        <f>(Q92)-(R92)</f>
        <v>24.7</v>
      </c>
      <c r="T92" s="19"/>
      <c r="U92" s="16"/>
      <c r="V92" s="23"/>
      <c r="W92" s="21"/>
      <c r="X92" s="22"/>
      <c r="Y92" s="23"/>
      <c r="Z92" s="19"/>
      <c r="AA92" s="16"/>
      <c r="AB92" s="23"/>
      <c r="AC92" s="21"/>
      <c r="AD92" s="22"/>
      <c r="AE92" s="23"/>
      <c r="AF92" s="19"/>
      <c r="AG92" s="16"/>
      <c r="AH92" s="23"/>
      <c r="AI92" s="21"/>
      <c r="AJ92" s="22"/>
      <c r="AK92" s="23"/>
      <c r="AL92" s="19"/>
      <c r="AM92" s="16"/>
      <c r="AN92" s="23"/>
      <c r="AO92" s="21"/>
      <c r="AP92" s="22"/>
      <c r="AQ92" s="23"/>
      <c r="AR92" s="19"/>
      <c r="AS92" s="16"/>
      <c r="AT92" s="23"/>
      <c r="AU92" s="21"/>
      <c r="AV92" s="22"/>
      <c r="AW92" s="23"/>
      <c r="AX92" s="19"/>
      <c r="AY92" s="16"/>
      <c r="AZ92" s="23"/>
      <c r="BA92" s="21"/>
      <c r="BB92" s="22"/>
      <c r="BC92" s="23"/>
      <c r="BD92" s="19"/>
      <c r="BE92" s="16"/>
      <c r="BF92" s="23"/>
      <c r="BG92" s="21">
        <f>(((((((((B92)+(Q92))+(AC92))+(AL92))+(AO92))+(AR92))+(AU92))+(AX92))+(BA92))+(BD92)</f>
        <v>24.7</v>
      </c>
      <c r="BH92" s="22"/>
      <c r="BI92" s="23">
        <f t="shared" si="26"/>
        <v>24.7</v>
      </c>
      <c r="BJ92" s="21">
        <f>240.33</f>
        <v>240.33</v>
      </c>
      <c r="BK92" s="16"/>
      <c r="BL92" s="23">
        <f t="shared" si="24"/>
        <v>240.33</v>
      </c>
      <c r="BM92" s="19"/>
      <c r="BN92" s="16"/>
      <c r="BO92" s="23"/>
      <c r="BP92" s="19"/>
      <c r="BQ92" s="16"/>
      <c r="BR92" s="23"/>
      <c r="BS92" s="19"/>
      <c r="BT92" s="16"/>
      <c r="BU92" s="23"/>
      <c r="BV92" s="19"/>
      <c r="BW92" s="16"/>
      <c r="BX92" s="23"/>
      <c r="BY92" s="21"/>
      <c r="BZ92" s="16"/>
      <c r="CA92" s="23"/>
      <c r="CB92" s="21"/>
      <c r="CC92" s="22"/>
      <c r="CD92" s="23"/>
      <c r="CE92" s="21">
        <f t="shared" si="25"/>
        <v>265.03000000000003</v>
      </c>
      <c r="CF92" s="22"/>
      <c r="CG92" s="23">
        <f t="shared" si="22"/>
        <v>265.03000000000003</v>
      </c>
    </row>
    <row r="93" spans="1:85" x14ac:dyDescent="0.2">
      <c r="A93" s="3" t="s">
        <v>37</v>
      </c>
      <c r="B93" s="24">
        <f>((((((((B84)+(B85))+(B86))+(B87))+(B88))+(B89))+(B90))+(B91))+(B92)</f>
        <v>0</v>
      </c>
      <c r="C93" s="6">
        <f>((((((((C84)+(C85))+(C86))+(C87))+(C88))+(C89))+(C90))+(C91))+(C92)</f>
        <v>0</v>
      </c>
      <c r="D93" s="25">
        <f>(B93)-(C93)</f>
        <v>0</v>
      </c>
      <c r="E93" s="24">
        <f>((((((((E84)+(E85))+(E86))+(E87))+(E88))+(E89))+(E90))+(E91))+(E92)</f>
        <v>86.72</v>
      </c>
      <c r="F93" s="6">
        <f>((((((((F84)+(F85))+(F86))+(F87))+(F88))+(F89))+(F90))+(F91))+(F92)</f>
        <v>325</v>
      </c>
      <c r="G93" s="25">
        <f>(E93)-(F93)</f>
        <v>-238.28</v>
      </c>
      <c r="H93" s="24">
        <f>((((((((H84)+(H85))+(H86))+(H87))+(H88))+(H89))+(H90))+(H91))+(H92)</f>
        <v>572.67000000000007</v>
      </c>
      <c r="I93" s="6">
        <f>((((((((I84)+(I85))+(I86))+(I87))+(I88))+(I89))+(I90))+(I91))+(I92)</f>
        <v>0</v>
      </c>
      <c r="J93" s="25">
        <f>(H93)-(I93)</f>
        <v>572.67000000000007</v>
      </c>
      <c r="K93" s="24">
        <f>((((((((K84)+(K85))+(K86))+(K87))+(K88))+(K89))+(K90))+(K91))+(K92)</f>
        <v>0</v>
      </c>
      <c r="L93" s="6">
        <f>((((((((L84)+(L85))+(L86))+(L87))+(L88))+(L89))+(L90))+(L91))+(L92)</f>
        <v>0</v>
      </c>
      <c r="M93" s="25">
        <f>(K93)-(L93)</f>
        <v>0</v>
      </c>
      <c r="N93" s="24">
        <f>((((((((N84)+(N85))+(N86))+(N87))+(N88))+(N89))+(N90))+(N91))+(N92)</f>
        <v>0</v>
      </c>
      <c r="O93" s="6">
        <f>((((((((O84)+(O85))+(O86))+(O87))+(O88))+(O89))+(O90))+(O91))+(O92)</f>
        <v>0</v>
      </c>
      <c r="P93" s="25">
        <f>(N93)-(O93)</f>
        <v>0</v>
      </c>
      <c r="Q93" s="24">
        <f>(((E93)+(H93))+(K93))+(N93)</f>
        <v>659.3900000000001</v>
      </c>
      <c r="R93" s="6">
        <f>(((F93)+(I93))+(L93))+(O93)</f>
        <v>325</v>
      </c>
      <c r="S93" s="25">
        <f>(Q93)-(R93)</f>
        <v>334.3900000000001</v>
      </c>
      <c r="T93" s="24">
        <f>((((((((T84)+(T85))+(T86))+(T87))+(T88))+(T89))+(T90))+(T91))+(T92)</f>
        <v>368</v>
      </c>
      <c r="U93" s="6">
        <f>((((((((U84)+(U85))+(U86))+(U87))+(U88))+(U89))+(U90))+(U91))+(U92)</f>
        <v>900</v>
      </c>
      <c r="V93" s="25">
        <f>(T93)-(U93)</f>
        <v>-532</v>
      </c>
      <c r="W93" s="24">
        <f>((((((((W84)+(W85))+(W86))+(W87))+(W88))+(W89))+(W90))+(W91))+(W92)</f>
        <v>0</v>
      </c>
      <c r="X93" s="6">
        <f>((((((((X84)+(X85))+(X86))+(X87))+(X88))+(X89))+(X90))+(X91))+(X92)</f>
        <v>0</v>
      </c>
      <c r="Y93" s="25">
        <f>(W93)-(X93)</f>
        <v>0</v>
      </c>
      <c r="Z93" s="24">
        <f>((((((((Z84)+(Z85))+(Z86))+(Z87))+(Z88))+(Z89))+(Z90))+(Z91))+(Z92)</f>
        <v>0</v>
      </c>
      <c r="AA93" s="6">
        <f>((((((((AA84)+(AA85))+(AA86))+(AA87))+(AA88))+(AA89))+(AA90))+(AA91))+(AA92)</f>
        <v>0</v>
      </c>
      <c r="AB93" s="25">
        <f>(Z93)-(AA93)</f>
        <v>0</v>
      </c>
      <c r="AC93" s="24">
        <f>((T93)+(W93))+(Z93)</f>
        <v>368</v>
      </c>
      <c r="AD93" s="6">
        <f>((U93)+(X93))+(AA93)</f>
        <v>900</v>
      </c>
      <c r="AE93" s="25">
        <f>(AC93)-(AD93)</f>
        <v>-532</v>
      </c>
      <c r="AF93" s="24">
        <f>((((((((AF84)+(AF85))+(AF86))+(AF87))+(AF88))+(AF89))+(AF90))+(AF91))+(AF92)</f>
        <v>0</v>
      </c>
      <c r="AG93" s="6">
        <f>((((((((AG84)+(AG85))+(AG86))+(AG87))+(AG88))+(AG89))+(AG90))+(AG91))+(AG92)</f>
        <v>0</v>
      </c>
      <c r="AH93" s="25">
        <f>(AF93)-(AG93)</f>
        <v>0</v>
      </c>
      <c r="AI93" s="24">
        <f>((((((((AI84)+(AI85))+(AI86))+(AI87))+(AI88))+(AI89))+(AI90))+(AI91))+(AI92)</f>
        <v>0</v>
      </c>
      <c r="AJ93" s="6">
        <f>((((((((AJ84)+(AJ85))+(AJ86))+(AJ87))+(AJ88))+(AJ89))+(AJ90))+(AJ91))+(AJ92)</f>
        <v>0</v>
      </c>
      <c r="AK93" s="25">
        <f>(AI93)-(AJ93)</f>
        <v>0</v>
      </c>
      <c r="AL93" s="24">
        <f>(AF93)+(AI93)</f>
        <v>0</v>
      </c>
      <c r="AM93" s="6">
        <f>(AG93)+(AJ93)</f>
        <v>0</v>
      </c>
      <c r="AN93" s="25">
        <f>(AL93)-(AM93)</f>
        <v>0</v>
      </c>
      <c r="AO93" s="24">
        <f>((((((((AO84)+(AO85))+(AO86))+(AO87))+(AO88))+(AO89))+(AO90))+(AO91))+(AO92)</f>
        <v>0</v>
      </c>
      <c r="AP93" s="6">
        <f>((((((((AP84)+(AP85))+(AP86))+(AP87))+(AP88))+(AP89))+(AP90))+(AP91))+(AP92)</f>
        <v>0</v>
      </c>
      <c r="AQ93" s="25">
        <f>(AO93)-(AP93)</f>
        <v>0</v>
      </c>
      <c r="AR93" s="24">
        <f>((((((((AR84)+(AR85))+(AR86))+(AR87))+(AR88))+(AR89))+(AR90))+(AR91))+(AR92)</f>
        <v>0</v>
      </c>
      <c r="AS93" s="6">
        <f>((((((((AS84)+(AS85))+(AS86))+(AS87))+(AS88))+(AS89))+(AS90))+(AS91))+(AS92)</f>
        <v>0</v>
      </c>
      <c r="AT93" s="25">
        <f>(AR93)-(AS93)</f>
        <v>0</v>
      </c>
      <c r="AU93" s="24">
        <f>((((((((AU84)+(AU85))+(AU86))+(AU87))+(AU88))+(AU89))+(AU90))+(AU91))+(AU92)</f>
        <v>0</v>
      </c>
      <c r="AV93" s="6">
        <f>((((((((AV84)+(AV85))+(AV86))+(AV87))+(AV88))+(AV89))+(AV90))+(AV91))+(AV92)</f>
        <v>0</v>
      </c>
      <c r="AW93" s="25">
        <f>(AU93)-(AV93)</f>
        <v>0</v>
      </c>
      <c r="AX93" s="24">
        <f>((((((((AX84)+(AX85))+(AX86))+(AX87))+(AX88))+(AX89))+(AX90))+(AX91))+(AX92)</f>
        <v>16.559999999999999</v>
      </c>
      <c r="AY93" s="6">
        <f>((((((((AY84)+(AY85))+(AY86))+(AY87))+(AY88))+(AY89))+(AY90))+(AY91))+(AY92)</f>
        <v>0</v>
      </c>
      <c r="AZ93" s="25">
        <f>(AX93)-(AY93)</f>
        <v>16.559999999999999</v>
      </c>
      <c r="BA93" s="24">
        <f>((((((((BA84)+(BA85))+(BA86))+(BA87))+(BA88))+(BA89))+(BA90))+(BA91))+(BA92)</f>
        <v>0</v>
      </c>
      <c r="BB93" s="6">
        <f>((((((((BB84)+(BB85))+(BB86))+(BB87))+(BB88))+(BB89))+(BB90))+(BB91))+(BB92)</f>
        <v>0</v>
      </c>
      <c r="BC93" s="25">
        <f>(BA93)-(BB93)</f>
        <v>0</v>
      </c>
      <c r="BD93" s="24">
        <f>((((((((BD84)+(BD85))+(BD86))+(BD87))+(BD88))+(BD89))+(BD90))+(BD91))+(BD92)</f>
        <v>40.36</v>
      </c>
      <c r="BE93" s="6">
        <f>((((((((BE84)+(BE85))+(BE86))+(BE87))+(BE88))+(BE89))+(BE90))+(BE91))+(BE92)</f>
        <v>0</v>
      </c>
      <c r="BF93" s="25">
        <f>(BD93)-(BE93)</f>
        <v>40.36</v>
      </c>
      <c r="BG93" s="24">
        <f>(((((((((B93)+(Q93))+(AC93))+(AL93))+(AO93))+(AR93))+(AU93))+(AX93))+(BA93))+(BD93)</f>
        <v>1084.31</v>
      </c>
      <c r="BH93" s="6">
        <f>(((((((((C93)+(R93))+(AD93))+(AM93))+(AP93))+(AS93))+(AV93))+(AY93))+(BB93))+(BE93)</f>
        <v>1225</v>
      </c>
      <c r="BI93" s="25">
        <f t="shared" si="26"/>
        <v>-140.69000000000005</v>
      </c>
      <c r="BJ93" s="24">
        <f>((((((((BJ84)+(BJ85))+(BJ86))+(BJ87))+(BJ88))+(BJ89))+(BJ90))+(BJ91))+(BJ92)</f>
        <v>3303.02</v>
      </c>
      <c r="BK93" s="6">
        <f>((((((((BK84)+(BK85))+(BK86))+(BK87))+(BK88))+(BK89))+(BK90))+(BK91))+(BK92)</f>
        <v>1580</v>
      </c>
      <c r="BL93" s="25">
        <f t="shared" si="24"/>
        <v>1723.02</v>
      </c>
      <c r="BM93" s="24">
        <f>((((((((BM84)+(BM85))+(BM86))+(BM87))+(BM88))+(BM89))+(BM90))+(BM91))+(BM92)</f>
        <v>0</v>
      </c>
      <c r="BN93" s="6">
        <f>((((((((BN84)+(BN85))+(BN86))+(BN87))+(BN88))+(BN89))+(BN90))+(BN91))+(BN92)</f>
        <v>0</v>
      </c>
      <c r="BO93" s="25">
        <f>(BM93)-(BN93)</f>
        <v>0</v>
      </c>
      <c r="BP93" s="24">
        <f>((((((((BP84)+(BP85))+(BP86))+(BP87))+(BP88))+(BP89))+(BP90))+(BP91))+(BP92)</f>
        <v>1686.57</v>
      </c>
      <c r="BQ93" s="6">
        <f>((((((((BQ84)+(BQ85))+(BQ86))+(BQ87))+(BQ88))+(BQ89))+(BQ90))+(BQ91))+(BQ92)</f>
        <v>2220</v>
      </c>
      <c r="BR93" s="25">
        <f>(BP93)-(BQ93)</f>
        <v>-533.43000000000006</v>
      </c>
      <c r="BS93" s="24">
        <f>((((((((BS84)+(BS85))+(BS86))+(BS87))+(BS88))+(BS89))+(BS90))+(BS91))+(BS92)</f>
        <v>0</v>
      </c>
      <c r="BT93" s="6">
        <f>((((((((BT84)+(BT85))+(BT86))+(BT87))+(BT88))+(BT89))+(BT90))+(BT91))+(BT92)</f>
        <v>0</v>
      </c>
      <c r="BU93" s="25">
        <f>(BS93)-(BT93)</f>
        <v>0</v>
      </c>
      <c r="BV93" s="24">
        <f>((((((((BV84)+(BV85))+(BV86))+(BV87))+(BV88))+(BV89))+(BV90))+(BV91))+(BV92)</f>
        <v>72.09</v>
      </c>
      <c r="BW93" s="6">
        <f>((((((((BW84)+(BW85))+(BW86))+(BW87))+(BW88))+(BW89))+(BW90))+(BW91))+(BW92)</f>
        <v>0</v>
      </c>
      <c r="BX93" s="25">
        <f>(BV93)-(BW93)</f>
        <v>72.09</v>
      </c>
      <c r="BY93" s="24">
        <f>((((((((BY84)+(BY85))+(BY86))+(BY87))+(BY88))+(BY89))+(BY90))+(BY91))+(BY92)</f>
        <v>6.74</v>
      </c>
      <c r="BZ93" s="6">
        <f>((((((((BZ84)+(BZ85))+(BZ86))+(BZ87))+(BZ88))+(BZ89))+(BZ90))+(BZ91))+(BZ92)</f>
        <v>7</v>
      </c>
      <c r="CA93" s="25">
        <f>(BY93)-(BZ93)</f>
        <v>-0.25999999999999979</v>
      </c>
      <c r="CB93" s="24">
        <f>((((BM93)+(BP93))+(BS93))+(BV93))+(BY93)</f>
        <v>1765.3999999999999</v>
      </c>
      <c r="CC93" s="6">
        <f>((((BN93)+(BQ93))+(BT93))+(BW93))+(BZ93)</f>
        <v>2227</v>
      </c>
      <c r="CD93" s="25">
        <f>(CB93)-(CC93)</f>
        <v>-461.60000000000014</v>
      </c>
      <c r="CE93" s="24">
        <f t="shared" si="25"/>
        <v>6152.73</v>
      </c>
      <c r="CF93" s="6">
        <f>((BH93)+(BK93))+(CC93)</f>
        <v>5032</v>
      </c>
      <c r="CG93" s="25">
        <f t="shared" si="22"/>
        <v>1120.7299999999996</v>
      </c>
    </row>
    <row r="94" spans="1:85" x14ac:dyDescent="0.2">
      <c r="A94" s="3"/>
      <c r="B94" s="26"/>
      <c r="C94" s="9"/>
      <c r="D94" s="27"/>
      <c r="E94" s="26"/>
      <c r="F94" s="9"/>
      <c r="G94" s="27"/>
      <c r="H94" s="26"/>
      <c r="I94" s="9"/>
      <c r="J94" s="27"/>
      <c r="K94" s="26"/>
      <c r="L94" s="9"/>
      <c r="M94" s="27"/>
      <c r="N94" s="26"/>
      <c r="O94" s="9"/>
      <c r="P94" s="27"/>
      <c r="Q94" s="26"/>
      <c r="R94" s="9"/>
      <c r="S94" s="27"/>
      <c r="T94" s="26"/>
      <c r="U94" s="9"/>
      <c r="V94" s="27"/>
      <c r="W94" s="26"/>
      <c r="X94" s="9"/>
      <c r="Y94" s="27"/>
      <c r="Z94" s="26"/>
      <c r="AA94" s="9"/>
      <c r="AB94" s="27"/>
      <c r="AC94" s="26"/>
      <c r="AD94" s="9"/>
      <c r="AE94" s="27"/>
      <c r="AF94" s="26"/>
      <c r="AG94" s="9"/>
      <c r="AH94" s="27"/>
      <c r="AI94" s="26"/>
      <c r="AJ94" s="9"/>
      <c r="AK94" s="27"/>
      <c r="AL94" s="26"/>
      <c r="AM94" s="9"/>
      <c r="AN94" s="27"/>
      <c r="AO94" s="26"/>
      <c r="AP94" s="9"/>
      <c r="AQ94" s="27"/>
      <c r="AR94" s="26"/>
      <c r="AS94" s="9"/>
      <c r="AT94" s="27"/>
      <c r="AU94" s="26"/>
      <c r="AV94" s="9"/>
      <c r="AW94" s="27"/>
      <c r="AX94" s="26"/>
      <c r="AY94" s="9"/>
      <c r="AZ94" s="27"/>
      <c r="BA94" s="26"/>
      <c r="BB94" s="9"/>
      <c r="BC94" s="27"/>
      <c r="BD94" s="26"/>
      <c r="BE94" s="9"/>
      <c r="BF94" s="27"/>
      <c r="BG94" s="26"/>
      <c r="BH94" s="9"/>
      <c r="BI94" s="27"/>
      <c r="BJ94" s="26"/>
      <c r="BK94" s="9"/>
      <c r="BL94" s="27"/>
      <c r="BM94" s="26"/>
      <c r="BN94" s="9"/>
      <c r="BO94" s="27"/>
      <c r="BP94" s="26"/>
      <c r="BQ94" s="9"/>
      <c r="BR94" s="27"/>
      <c r="BS94" s="26"/>
      <c r="BT94" s="9"/>
      <c r="BU94" s="27"/>
      <c r="BV94" s="26"/>
      <c r="BW94" s="9"/>
      <c r="BX94" s="27"/>
      <c r="BY94" s="26"/>
      <c r="BZ94" s="9"/>
      <c r="CA94" s="27"/>
      <c r="CB94" s="26"/>
      <c r="CC94" s="9"/>
      <c r="CD94" s="27"/>
      <c r="CE94" s="26"/>
      <c r="CF94" s="9"/>
      <c r="CG94" s="27"/>
    </row>
    <row r="95" spans="1:85" x14ac:dyDescent="0.2">
      <c r="A95" s="13" t="s">
        <v>36</v>
      </c>
      <c r="B95" s="24">
        <f>(((((B56)+(B66))+(B70))+(B78))+(B82))+(B93)</f>
        <v>0</v>
      </c>
      <c r="C95" s="6">
        <f>(((((C56)+(C66))+(C70))+(C78))+(C82))+(C93)</f>
        <v>0</v>
      </c>
      <c r="D95" s="25">
        <f>(B95)-(C95)</f>
        <v>0</v>
      </c>
      <c r="E95" s="24">
        <f>(((((E56)+(E66))+(E70))+(E78))+(E82))+(E93)</f>
        <v>10712.13</v>
      </c>
      <c r="F95" s="6">
        <f>(((((F56)+(F66))+(F70))+(F78))+(F82))+(F93)</f>
        <v>6541</v>
      </c>
      <c r="G95" s="25">
        <f>(E95)-(F95)</f>
        <v>4171.1299999999992</v>
      </c>
      <c r="H95" s="24">
        <f>(((((H56)+(H66))+(H70))+(H78))+(H82))+(H93)</f>
        <v>4711.33</v>
      </c>
      <c r="I95" s="6">
        <f>(((((I56)+(I66))+(I70))+(I78))+(I82))+(I93)</f>
        <v>4000</v>
      </c>
      <c r="J95" s="25">
        <f>(H95)-(I95)</f>
        <v>711.32999999999993</v>
      </c>
      <c r="K95" s="24">
        <f>(((((K56)+(K66))+(K70))+(K78))+(K82))+(K93)</f>
        <v>70</v>
      </c>
      <c r="L95" s="6">
        <f>(((((L56)+(L66))+(L70))+(L78))+(L82))+(L93)</f>
        <v>0</v>
      </c>
      <c r="M95" s="25">
        <f>(K95)-(L95)</f>
        <v>70</v>
      </c>
      <c r="N95" s="24">
        <f>(((((N56)+(N66))+(N70))+(N78))+(N82))+(N93)</f>
        <v>26011.35</v>
      </c>
      <c r="O95" s="6">
        <f>(((((O56)+(O66))+(O70))+(O78))+(O82))+(O93)</f>
        <v>0</v>
      </c>
      <c r="P95" s="25">
        <f>(N95)-(O95)</f>
        <v>26011.35</v>
      </c>
      <c r="Q95" s="24">
        <f>(((E95)+(H95))+(K95))+(N95)</f>
        <v>41504.81</v>
      </c>
      <c r="R95" s="6">
        <f>(((F95)+(I95))+(L95))+(O95)</f>
        <v>10541</v>
      </c>
      <c r="S95" s="25">
        <f>(Q95)-(R95)</f>
        <v>30963.809999999998</v>
      </c>
      <c r="T95" s="24">
        <f>(((((T56)+(T66))+(T70))+(T78))+(T82))+(T93)</f>
        <v>508</v>
      </c>
      <c r="U95" s="6">
        <f>(((((U56)+(U66))+(U70))+(U78))+(U82))+(U93)</f>
        <v>900</v>
      </c>
      <c r="V95" s="25">
        <f>(T95)-(U95)</f>
        <v>-392</v>
      </c>
      <c r="W95" s="24">
        <f>(((((W56)+(W66))+(W70))+(W78))+(W82))+(W93)</f>
        <v>2903</v>
      </c>
      <c r="X95" s="6">
        <f>(((((X56)+(X66))+(X70))+(X78))+(X82))+(X93)</f>
        <v>2500</v>
      </c>
      <c r="Y95" s="25">
        <f>(W95)-(X95)</f>
        <v>403</v>
      </c>
      <c r="Z95" s="24">
        <f>(((((Z56)+(Z66))+(Z70))+(Z78))+(Z82))+(Z93)</f>
        <v>0</v>
      </c>
      <c r="AA95" s="6">
        <f>(((((AA56)+(AA66))+(AA70))+(AA78))+(AA82))+(AA93)</f>
        <v>5000</v>
      </c>
      <c r="AB95" s="25">
        <f>(Z95)-(AA95)</f>
        <v>-5000</v>
      </c>
      <c r="AC95" s="24">
        <f>((T95)+(W95))+(Z95)</f>
        <v>3411</v>
      </c>
      <c r="AD95" s="6">
        <f>((U95)+(X95))+(AA95)</f>
        <v>8400</v>
      </c>
      <c r="AE95" s="25">
        <f>(AC95)-(AD95)</f>
        <v>-4989</v>
      </c>
      <c r="AF95" s="24">
        <f>(((((AF56)+(AF66))+(AF70))+(AF78))+(AF82))+(AF93)</f>
        <v>6515.34</v>
      </c>
      <c r="AG95" s="6">
        <f>(((((AG56)+(AG66))+(AG70))+(AG78))+(AG82))+(AG93)</f>
        <v>10400</v>
      </c>
      <c r="AH95" s="25">
        <f>(AF95)-(AG95)</f>
        <v>-3884.66</v>
      </c>
      <c r="AI95" s="24">
        <f>(((((AI56)+(AI66))+(AI70))+(AI78))+(AI82))+(AI93)</f>
        <v>413.13</v>
      </c>
      <c r="AJ95" s="6">
        <f>(((((AJ56)+(AJ66))+(AJ70))+(AJ78))+(AJ82))+(AJ93)</f>
        <v>0</v>
      </c>
      <c r="AK95" s="25">
        <f>(AI95)-(AJ95)</f>
        <v>413.13</v>
      </c>
      <c r="AL95" s="24">
        <f>(AF95)+(AI95)</f>
        <v>6928.47</v>
      </c>
      <c r="AM95" s="6">
        <f>(AG95)+(AJ95)</f>
        <v>10400</v>
      </c>
      <c r="AN95" s="25">
        <f>(AL95)-(AM95)</f>
        <v>-3471.5299999999997</v>
      </c>
      <c r="AO95" s="24">
        <f>(((((AO56)+(AO66))+(AO70))+(AO78))+(AO82))+(AO93)</f>
        <v>6350.0899999999992</v>
      </c>
      <c r="AP95" s="6">
        <f>(((((AP56)+(AP66))+(AP70))+(AP78))+(AP82))+(AP93)</f>
        <v>15950</v>
      </c>
      <c r="AQ95" s="25">
        <f>(AO95)-(AP95)</f>
        <v>-9599.91</v>
      </c>
      <c r="AR95" s="24">
        <f>(((((AR56)+(AR66))+(AR70))+(AR78))+(AR82))+(AR93)</f>
        <v>903.22</v>
      </c>
      <c r="AS95" s="6">
        <f>(((((AS56)+(AS66))+(AS70))+(AS78))+(AS82))+(AS93)</f>
        <v>2800</v>
      </c>
      <c r="AT95" s="25">
        <f>(AR95)-(AS95)</f>
        <v>-1896.78</v>
      </c>
      <c r="AU95" s="24">
        <f>(((((AU56)+(AU66))+(AU70))+(AU78))+(AU82))+(AU93)</f>
        <v>7772.7400000000007</v>
      </c>
      <c r="AV95" s="6">
        <f>(((((AV56)+(AV66))+(AV70))+(AV78))+(AV82))+(AV93)</f>
        <v>7585</v>
      </c>
      <c r="AW95" s="25">
        <f>(AU95)-(AV95)</f>
        <v>187.74000000000069</v>
      </c>
      <c r="AX95" s="24">
        <f>(((((AX56)+(AX66))+(AX70))+(AX78))+(AX82))+(AX93)</f>
        <v>56392.06</v>
      </c>
      <c r="AY95" s="6">
        <f>(((((AY56)+(AY66))+(AY70))+(AY78))+(AY82))+(AY93)</f>
        <v>59476</v>
      </c>
      <c r="AZ95" s="25">
        <f>(AX95)-(AY95)</f>
        <v>-3083.9400000000023</v>
      </c>
      <c r="BA95" s="24">
        <f>(((((BA56)+(BA66))+(BA70))+(BA78))+(BA82))+(BA93)</f>
        <v>968.96</v>
      </c>
      <c r="BB95" s="6">
        <f>(((((BB56)+(BB66))+(BB70))+(BB78))+(BB82))+(BB93)</f>
        <v>0</v>
      </c>
      <c r="BC95" s="25">
        <f>(BA95)-(BB95)</f>
        <v>968.96</v>
      </c>
      <c r="BD95" s="24">
        <f>(((((BD56)+(BD66))+(BD70))+(BD78))+(BD82))+(BD93)</f>
        <v>2335.59</v>
      </c>
      <c r="BE95" s="6">
        <f>(((((BE56)+(BE66))+(BE70))+(BE78))+(BE82))+(BE93)</f>
        <v>0</v>
      </c>
      <c r="BF95" s="25">
        <f>(BD95)-(BE95)</f>
        <v>2335.59</v>
      </c>
      <c r="BG95" s="24">
        <f>(((((((((B95)+(Q95))+(AC95))+(AL95))+(AO95))+(AR95))+(AU95))+(AX95))+(BA95))+(BD95)</f>
        <v>126566.94</v>
      </c>
      <c r="BH95" s="6">
        <f>(((((((((C95)+(R95))+(AD95))+(AM95))+(AP95))+(AS95))+(AV95))+(AY95))+(BB95))+(BE95)</f>
        <v>115152</v>
      </c>
      <c r="BI95" s="25">
        <f>(BG95)-(BH95)</f>
        <v>11414.940000000002</v>
      </c>
      <c r="BJ95" s="24">
        <f>(((((BJ56)+(BJ66))+(BJ70))+(BJ78))+(BJ82))+(BJ93)</f>
        <v>43192.78</v>
      </c>
      <c r="BK95" s="6">
        <f>(((((BK56)+(BK66))+(BK70))+(BK78))+(BK82))+(BK93)</f>
        <v>31264</v>
      </c>
      <c r="BL95" s="25">
        <f>(BJ95)-(BK95)</f>
        <v>11928.779999999999</v>
      </c>
      <c r="BM95" s="24">
        <f>(((((BM56)+(BM66))+(BM70))+(BM78))+(BM82))+(BM93)</f>
        <v>450</v>
      </c>
      <c r="BN95" s="6">
        <f>(((((BN56)+(BN66))+(BN70))+(BN78))+(BN82))+(BN93)</f>
        <v>0</v>
      </c>
      <c r="BO95" s="25">
        <f>(BM95)-(BN95)</f>
        <v>450</v>
      </c>
      <c r="BP95" s="24">
        <f>(((((BP56)+(BP66))+(BP70))+(BP78))+(BP82))+(BP93)</f>
        <v>25283.97</v>
      </c>
      <c r="BQ95" s="6">
        <f>(((((BQ56)+(BQ66))+(BQ70))+(BQ78))+(BQ82))+(BQ93)</f>
        <v>19630</v>
      </c>
      <c r="BR95" s="25">
        <f>(BP95)-(BQ95)</f>
        <v>5653.9700000000012</v>
      </c>
      <c r="BS95" s="24">
        <f>(((((BS56)+(BS66))+(BS70))+(BS78))+(BS82))+(BS93)</f>
        <v>301.95999999999998</v>
      </c>
      <c r="BT95" s="6">
        <f>(((((BT56)+(BT66))+(BT70))+(BT78))+(BT82))+(BT93)</f>
        <v>0</v>
      </c>
      <c r="BU95" s="25">
        <f>(BS95)-(BT95)</f>
        <v>301.95999999999998</v>
      </c>
      <c r="BV95" s="24">
        <f>(((((BV56)+(BV66))+(BV70))+(BV78))+(BV82))+(BV93)</f>
        <v>707.54</v>
      </c>
      <c r="BW95" s="6">
        <f>(((((BW56)+(BW66))+(BW70))+(BW78))+(BW82))+(BW93)</f>
        <v>9000</v>
      </c>
      <c r="BX95" s="25">
        <f>(BV95)-(BW95)</f>
        <v>-8292.4599999999991</v>
      </c>
      <c r="BY95" s="24">
        <f>(((((BY56)+(BY66))+(BY70))+(BY78))+(BY82))+(BY93)</f>
        <v>1567.5900000000001</v>
      </c>
      <c r="BZ95" s="6">
        <f>(((((BZ56)+(BZ66))+(BZ70))+(BZ78))+(BZ82))+(BZ93)</f>
        <v>1607</v>
      </c>
      <c r="CA95" s="25">
        <f>(BY95)-(BZ95)</f>
        <v>-39.409999999999854</v>
      </c>
      <c r="CB95" s="24">
        <f>((((BM95)+(BP95))+(BS95))+(BV95))+(BY95)</f>
        <v>28311.06</v>
      </c>
      <c r="CC95" s="6">
        <f>((((BN95)+(BQ95))+(BT95))+(BW95))+(BZ95)</f>
        <v>30237</v>
      </c>
      <c r="CD95" s="25">
        <f>(CB95)-(CC95)</f>
        <v>-1925.9399999999987</v>
      </c>
      <c r="CE95" s="24">
        <f>((BG95)+(BJ95))+(CB95)</f>
        <v>198070.78</v>
      </c>
      <c r="CF95" s="6">
        <f>((BH95)+(BK95))+(CC95)</f>
        <v>176653</v>
      </c>
      <c r="CG95" s="25">
        <f>(CE95)-(CF95)</f>
        <v>21417.78</v>
      </c>
    </row>
    <row r="96" spans="1:85" ht="15" hidden="1" customHeight="1" x14ac:dyDescent="0.2">
      <c r="A96" s="3" t="s">
        <v>35</v>
      </c>
      <c r="B96" s="24">
        <f>(B44)-(B95)</f>
        <v>0</v>
      </c>
      <c r="C96" s="6">
        <f>(C44)-(C95)</f>
        <v>1500</v>
      </c>
      <c r="D96" s="25">
        <f>(B96)-(C96)</f>
        <v>-1500</v>
      </c>
      <c r="E96" s="24">
        <f>(E44)-(E95)</f>
        <v>-8602.1299999999992</v>
      </c>
      <c r="F96" s="6">
        <f>(F44)-(F95)</f>
        <v>-5491</v>
      </c>
      <c r="G96" s="25">
        <f>(E96)-(F96)</f>
        <v>-3111.1299999999992</v>
      </c>
      <c r="H96" s="24">
        <f>(H44)-(H95)</f>
        <v>-1598.83</v>
      </c>
      <c r="I96" s="6">
        <f>(I44)-(I95)</f>
        <v>-4000</v>
      </c>
      <c r="J96" s="25">
        <f>(H96)-(I96)</f>
        <v>2401.17</v>
      </c>
      <c r="K96" s="24">
        <f>(K44)-(K95)</f>
        <v>-70</v>
      </c>
      <c r="L96" s="6">
        <f>(L44)-(L95)</f>
        <v>0</v>
      </c>
      <c r="M96" s="25">
        <f>(K96)-(L96)</f>
        <v>-70</v>
      </c>
      <c r="N96" s="24">
        <f>(N44)-(N95)</f>
        <v>14488.650000000001</v>
      </c>
      <c r="O96" s="6">
        <f>(O44)-(O95)</f>
        <v>0</v>
      </c>
      <c r="P96" s="25">
        <f>(N96)-(O96)</f>
        <v>14488.650000000001</v>
      </c>
      <c r="Q96" s="24">
        <f>(((E96)+(H96))+(K96))+(N96)</f>
        <v>4217.6900000000023</v>
      </c>
      <c r="R96" s="6">
        <f>(((F96)+(I96))+(L96))+(O96)</f>
        <v>-9491</v>
      </c>
      <c r="S96" s="25">
        <f>(Q96)-(R96)</f>
        <v>13708.690000000002</v>
      </c>
      <c r="T96" s="24">
        <f>(T44)-(T95)</f>
        <v>-508</v>
      </c>
      <c r="U96" s="6">
        <f>(U44)-(U95)</f>
        <v>-900</v>
      </c>
      <c r="V96" s="25">
        <f>(T96)-(U96)</f>
        <v>392</v>
      </c>
      <c r="W96" s="24">
        <f>(W44)-(W95)</f>
        <v>24363.09</v>
      </c>
      <c r="X96" s="6">
        <f>(X44)-(X95)</f>
        <v>37500</v>
      </c>
      <c r="Y96" s="25">
        <f>(W96)-(X96)</f>
        <v>-13136.91</v>
      </c>
      <c r="Z96" s="24">
        <f>(Z44)-(Z95)</f>
        <v>0</v>
      </c>
      <c r="AA96" s="6">
        <f>(AA44)-(AA95)</f>
        <v>5000</v>
      </c>
      <c r="AB96" s="25">
        <f>(Z96)-(AA96)</f>
        <v>-5000</v>
      </c>
      <c r="AC96" s="24">
        <f>((T96)+(W96))+(Z96)</f>
        <v>23855.09</v>
      </c>
      <c r="AD96" s="6">
        <f>((U96)+(X96))+(AA96)</f>
        <v>41600</v>
      </c>
      <c r="AE96" s="25">
        <f>(AC96)-(AD96)</f>
        <v>-17744.91</v>
      </c>
      <c r="AF96" s="24">
        <f>(AF44)-(AF95)</f>
        <v>8484.66</v>
      </c>
      <c r="AG96" s="6">
        <f>(AG44)-(AG95)</f>
        <v>-2900</v>
      </c>
      <c r="AH96" s="25">
        <f>(AF96)-(AG96)</f>
        <v>11384.66</v>
      </c>
      <c r="AI96" s="24">
        <f>(AI44)-(AI95)</f>
        <v>-413.13</v>
      </c>
      <c r="AJ96" s="6">
        <f>(AJ44)-(AJ95)</f>
        <v>0</v>
      </c>
      <c r="AK96" s="25">
        <f>(AI96)-(AJ96)</f>
        <v>-413.13</v>
      </c>
      <c r="AL96" s="24">
        <f>(AF96)+(AI96)</f>
        <v>8071.53</v>
      </c>
      <c r="AM96" s="6">
        <f>(AG96)+(AJ96)</f>
        <v>-2900</v>
      </c>
      <c r="AN96" s="25">
        <f>(AL96)-(AM96)</f>
        <v>10971.529999999999</v>
      </c>
      <c r="AO96" s="24">
        <f>(AO44)-(AO95)</f>
        <v>-5600.0899999999992</v>
      </c>
      <c r="AP96" s="6">
        <f>(AP44)-(AP95)</f>
        <v>-8950</v>
      </c>
      <c r="AQ96" s="25">
        <f>(AO96)-(AP96)</f>
        <v>3349.9100000000008</v>
      </c>
      <c r="AR96" s="24">
        <f>(AR44)-(AR95)</f>
        <v>-903.22</v>
      </c>
      <c r="AS96" s="6">
        <f>(AS44)-(AS95)</f>
        <v>-2800</v>
      </c>
      <c r="AT96" s="25">
        <f>(AR96)-(AS96)</f>
        <v>1896.78</v>
      </c>
      <c r="AU96" s="24">
        <f>(AU44)-(AU95)</f>
        <v>11418.880000000001</v>
      </c>
      <c r="AV96" s="6">
        <f>(AV44)-(AV95)</f>
        <v>11843</v>
      </c>
      <c r="AW96" s="25">
        <f>(AU96)-(AV96)</f>
        <v>-424.11999999999898</v>
      </c>
      <c r="AX96" s="24">
        <f>(AX44)-(AX95)</f>
        <v>10852.940000000002</v>
      </c>
      <c r="AY96" s="6">
        <f>(AY44)-(AY95)</f>
        <v>7624</v>
      </c>
      <c r="AZ96" s="25">
        <f>(AX96)-(AY96)</f>
        <v>3228.9400000000023</v>
      </c>
      <c r="BA96" s="24">
        <f>(BA44)-(BA95)</f>
        <v>-968.96</v>
      </c>
      <c r="BB96" s="6">
        <f>(BB44)-(BB95)</f>
        <v>0</v>
      </c>
      <c r="BC96" s="25">
        <f>(BA96)-(BB96)</f>
        <v>-968.96</v>
      </c>
      <c r="BD96" s="24">
        <f>(BD44)-(BD95)</f>
        <v>-2101.7000000000003</v>
      </c>
      <c r="BE96" s="6">
        <f>(BE44)-(BE95)</f>
        <v>0</v>
      </c>
      <c r="BF96" s="25">
        <f>(BD96)-(BE96)</f>
        <v>-2101.7000000000003</v>
      </c>
      <c r="BG96" s="24">
        <f>(((((((((B96)+(Q96))+(AC96))+(AL96))+(AO96))+(AR96))+(AU96))+(AX96))+(BA96))+(BD96)</f>
        <v>48842.160000000011</v>
      </c>
      <c r="BH96" s="6">
        <f>(((((((((C96)+(R96))+(AD96))+(AM96))+(AP96))+(AS96))+(AV96))+(AY96))+(BB96))+(BE96)</f>
        <v>38426</v>
      </c>
      <c r="BI96" s="25">
        <f>(BG96)-(BH96)</f>
        <v>10416.160000000011</v>
      </c>
      <c r="BJ96" s="24">
        <f>(BJ44)-(BJ95)</f>
        <v>-42708.11</v>
      </c>
      <c r="BK96" s="6">
        <f>(BK44)-(BK95)</f>
        <v>-31264</v>
      </c>
      <c r="BL96" s="25">
        <f>(BJ96)-(BK96)</f>
        <v>-11444.11</v>
      </c>
      <c r="BM96" s="24">
        <f>(BM44)-(BM95)</f>
        <v>-450</v>
      </c>
      <c r="BN96" s="6">
        <f>(BN44)-(BN95)</f>
        <v>0</v>
      </c>
      <c r="BO96" s="25">
        <f>(BM96)-(BN96)</f>
        <v>-450</v>
      </c>
      <c r="BP96" s="24">
        <f>(BP44)-(BP95)</f>
        <v>3385.9199999999983</v>
      </c>
      <c r="BQ96" s="6">
        <f>(BQ44)-(BQ95)</f>
        <v>8671</v>
      </c>
      <c r="BR96" s="25">
        <f>(BP96)-(BQ96)</f>
        <v>-5285.0800000000017</v>
      </c>
      <c r="BS96" s="24">
        <f>(BS44)-(BS95)</f>
        <v>523.04</v>
      </c>
      <c r="BT96" s="6">
        <f>(BT44)-(BT95)</f>
        <v>0</v>
      </c>
      <c r="BU96" s="25">
        <f>(BS96)-(BT96)</f>
        <v>523.04</v>
      </c>
      <c r="BV96" s="24">
        <f>(BV44)-(BV95)</f>
        <v>423.24</v>
      </c>
      <c r="BW96" s="6">
        <f>(BW44)-(BW95)</f>
        <v>-7500</v>
      </c>
      <c r="BX96" s="25">
        <f>(BV96)-(BW96)</f>
        <v>7923.24</v>
      </c>
      <c r="BY96" s="24">
        <f>(BY44)-(BY95)</f>
        <v>-656.59000000000015</v>
      </c>
      <c r="BZ96" s="6">
        <f>(BZ44)-(BZ95)</f>
        <v>-827</v>
      </c>
      <c r="CA96" s="25">
        <f>(BY96)-(BZ96)</f>
        <v>170.40999999999985</v>
      </c>
      <c r="CB96" s="24">
        <f>((((BM96)+(BP96))+(BS96))+(BV96))+(BY96)</f>
        <v>3225.6099999999979</v>
      </c>
      <c r="CC96" s="6">
        <f>((((BN96)+(BQ96))+(BT96))+(BW96))+(BZ96)</f>
        <v>344</v>
      </c>
      <c r="CD96" s="25">
        <f>(CB96)-(CC96)</f>
        <v>2881.6099999999979</v>
      </c>
      <c r="CE96" s="24">
        <f>((BG96)+(BJ96))+(CB96)</f>
        <v>9359.6600000000071</v>
      </c>
      <c r="CF96" s="6">
        <f>((BH96)+(BK96))+(CC96)</f>
        <v>7506</v>
      </c>
      <c r="CG96" s="25">
        <f>(CE96)-(CF96)</f>
        <v>1853.6600000000071</v>
      </c>
    </row>
    <row r="97" spans="1:88" x14ac:dyDescent="0.2">
      <c r="A97" s="3"/>
      <c r="B97" s="26"/>
      <c r="C97" s="9"/>
      <c r="D97" s="27"/>
      <c r="E97" s="26"/>
      <c r="F97" s="9"/>
      <c r="G97" s="27"/>
      <c r="H97" s="26"/>
      <c r="I97" s="9"/>
      <c r="J97" s="27"/>
      <c r="K97" s="26"/>
      <c r="L97" s="9"/>
      <c r="M97" s="27"/>
      <c r="N97" s="26"/>
      <c r="O97" s="9"/>
      <c r="P97" s="27"/>
      <c r="Q97" s="26"/>
      <c r="R97" s="9"/>
      <c r="S97" s="27"/>
      <c r="T97" s="26"/>
      <c r="U97" s="9"/>
      <c r="V97" s="27"/>
      <c r="W97" s="26"/>
      <c r="X97" s="9"/>
      <c r="Y97" s="27"/>
      <c r="Z97" s="26"/>
      <c r="AA97" s="9"/>
      <c r="AB97" s="27"/>
      <c r="AC97" s="26"/>
      <c r="AD97" s="9"/>
      <c r="AE97" s="27"/>
      <c r="AF97" s="26"/>
      <c r="AG97" s="9"/>
      <c r="AH97" s="27"/>
      <c r="AI97" s="26"/>
      <c r="AJ97" s="9"/>
      <c r="AK97" s="27"/>
      <c r="AL97" s="26"/>
      <c r="AM97" s="9"/>
      <c r="AN97" s="27"/>
      <c r="AO97" s="26"/>
      <c r="AP97" s="9"/>
      <c r="AQ97" s="27"/>
      <c r="AR97" s="26"/>
      <c r="AS97" s="9"/>
      <c r="AT97" s="27"/>
      <c r="AU97" s="26"/>
      <c r="AV97" s="9"/>
      <c r="AW97" s="27"/>
      <c r="AX97" s="26"/>
      <c r="AY97" s="9"/>
      <c r="AZ97" s="27"/>
      <c r="BA97" s="26"/>
      <c r="BB97" s="9"/>
      <c r="BC97" s="27"/>
      <c r="BD97" s="26"/>
      <c r="BE97" s="9"/>
      <c r="BF97" s="27"/>
      <c r="BG97" s="26"/>
      <c r="BH97" s="9"/>
      <c r="BI97" s="27"/>
      <c r="BJ97" s="26"/>
      <c r="BK97" s="9"/>
      <c r="BL97" s="27"/>
      <c r="BM97" s="26"/>
      <c r="BN97" s="9"/>
      <c r="BO97" s="27"/>
      <c r="BP97" s="26"/>
      <c r="BQ97" s="9"/>
      <c r="BR97" s="27"/>
      <c r="BS97" s="26"/>
      <c r="BT97" s="9"/>
      <c r="BU97" s="27"/>
      <c r="BV97" s="26"/>
      <c r="BW97" s="9"/>
      <c r="BX97" s="27"/>
      <c r="BY97" s="26"/>
      <c r="BZ97" s="9"/>
      <c r="CA97" s="27"/>
      <c r="CB97" s="26"/>
      <c r="CC97" s="9"/>
      <c r="CD97" s="27"/>
      <c r="CE97" s="26"/>
      <c r="CF97" s="9"/>
      <c r="CG97" s="27"/>
    </row>
    <row r="98" spans="1:88" s="37" customFormat="1" ht="15" customHeight="1" thickBot="1" x14ac:dyDescent="0.2">
      <c r="A98" s="36" t="s">
        <v>34</v>
      </c>
      <c r="B98" s="38">
        <f>(B96)+(0)</f>
        <v>0</v>
      </c>
      <c r="C98" s="39">
        <f>(C96)+(0)</f>
        <v>1500</v>
      </c>
      <c r="D98" s="40">
        <f>(B98)-(C98)</f>
        <v>-1500</v>
      </c>
      <c r="E98" s="38">
        <f>(E96)+(0)</f>
        <v>-8602.1299999999992</v>
      </c>
      <c r="F98" s="39">
        <f>(F96)+(0)</f>
        <v>-5491</v>
      </c>
      <c r="G98" s="40">
        <f>(E98)-(F98)</f>
        <v>-3111.1299999999992</v>
      </c>
      <c r="H98" s="38">
        <f>(H96)+(0)</f>
        <v>-1598.83</v>
      </c>
      <c r="I98" s="39">
        <f>(I96)+(0)</f>
        <v>-4000</v>
      </c>
      <c r="J98" s="40">
        <f>(H98)-(I98)</f>
        <v>2401.17</v>
      </c>
      <c r="K98" s="38">
        <f>(K96)+(0)</f>
        <v>-70</v>
      </c>
      <c r="L98" s="39">
        <f>(L96)+(0)</f>
        <v>0</v>
      </c>
      <c r="M98" s="40">
        <f>(K98)-(L98)</f>
        <v>-70</v>
      </c>
      <c r="N98" s="38">
        <f>(N96)+(0)</f>
        <v>14488.650000000001</v>
      </c>
      <c r="O98" s="39">
        <f>(O96)+(0)</f>
        <v>0</v>
      </c>
      <c r="P98" s="40">
        <f>(N98)-(O98)</f>
        <v>14488.650000000001</v>
      </c>
      <c r="Q98" s="38">
        <f>(((E98)+(H98))+(K98))+(N98)</f>
        <v>4217.6900000000023</v>
      </c>
      <c r="R98" s="39">
        <f>(((F98)+(I98))+(L98))+(O98)</f>
        <v>-9491</v>
      </c>
      <c r="S98" s="40">
        <f>(Q98)-(R98)</f>
        <v>13708.690000000002</v>
      </c>
      <c r="T98" s="38">
        <f>(T96)+(0)</f>
        <v>-508</v>
      </c>
      <c r="U98" s="39">
        <f>(U96)+(0)</f>
        <v>-900</v>
      </c>
      <c r="V98" s="40">
        <f>(T98)-(U98)</f>
        <v>392</v>
      </c>
      <c r="W98" s="38">
        <f>(W96)+(0)</f>
        <v>24363.09</v>
      </c>
      <c r="X98" s="39">
        <f>(X96)+(0)</f>
        <v>37500</v>
      </c>
      <c r="Y98" s="40">
        <f>(W98)-(X98)</f>
        <v>-13136.91</v>
      </c>
      <c r="Z98" s="38">
        <f>(Z96)+(0)</f>
        <v>0</v>
      </c>
      <c r="AA98" s="39">
        <f>(AA96)+(0)</f>
        <v>5000</v>
      </c>
      <c r="AB98" s="41">
        <f>(Z98)-(AA98)</f>
        <v>-5000</v>
      </c>
      <c r="AC98" s="42">
        <f>((T98)+(W98))+(Z98)</f>
        <v>23855.09</v>
      </c>
      <c r="AD98" s="43">
        <f>((U98)+(X98))+(AA98)</f>
        <v>41600</v>
      </c>
      <c r="AE98" s="41">
        <f>(AC98)-(AD98)</f>
        <v>-17744.91</v>
      </c>
      <c r="AF98" s="32">
        <f>(AF96)+(0)</f>
        <v>8484.66</v>
      </c>
      <c r="AG98" s="33">
        <f>(AG96)+(0)</f>
        <v>-2900</v>
      </c>
      <c r="AH98" s="34">
        <f>(AF98)-(AG98)</f>
        <v>11384.66</v>
      </c>
      <c r="AI98" s="32">
        <f>(AI96)+(0)</f>
        <v>-413.13</v>
      </c>
      <c r="AJ98" s="33">
        <f>(AJ96)+(0)</f>
        <v>0</v>
      </c>
      <c r="AK98" s="34">
        <f>(AI98)-(AJ98)</f>
        <v>-413.13</v>
      </c>
      <c r="AL98" s="32">
        <f>(AF98)+(AI98)</f>
        <v>8071.53</v>
      </c>
      <c r="AM98" s="33">
        <f>(AG98)+(AJ98)</f>
        <v>-2900</v>
      </c>
      <c r="AN98" s="34">
        <f>(AL98)-(AM98)</f>
        <v>10971.529999999999</v>
      </c>
      <c r="AO98" s="29">
        <f>(AO96)+(0)</f>
        <v>-5600.0899999999992</v>
      </c>
      <c r="AP98" s="30">
        <f>(AP96)+(0)</f>
        <v>-8950</v>
      </c>
      <c r="AQ98" s="31">
        <f>(AO98)-(AP98)</f>
        <v>3349.9100000000008</v>
      </c>
      <c r="AR98" s="29">
        <f>(AR96)+(0)</f>
        <v>-903.22</v>
      </c>
      <c r="AS98" s="30">
        <f>(AS96)+(0)</f>
        <v>-2800</v>
      </c>
      <c r="AT98" s="31">
        <f>(AR98)-(AS98)</f>
        <v>1896.78</v>
      </c>
      <c r="AU98" s="29">
        <f>(AU96)+(0)</f>
        <v>11418.880000000001</v>
      </c>
      <c r="AV98" s="30">
        <f>(AV96)+(0)</f>
        <v>11843</v>
      </c>
      <c r="AW98" s="31">
        <f>(AU98)-(AV98)</f>
        <v>-424.11999999999898</v>
      </c>
      <c r="AX98" s="29">
        <f>(AX96)+(0)</f>
        <v>10852.940000000002</v>
      </c>
      <c r="AY98" s="30">
        <f>(AY96)+(0)</f>
        <v>7624</v>
      </c>
      <c r="AZ98" s="31">
        <f>(AX98)-(AY98)</f>
        <v>3228.9400000000023</v>
      </c>
      <c r="BA98" s="29">
        <f>(BA96)+(0)</f>
        <v>-968.96</v>
      </c>
      <c r="BB98" s="30">
        <f>(BB96)+(0)</f>
        <v>0</v>
      </c>
      <c r="BC98" s="31">
        <f>(BA98)-(BB98)</f>
        <v>-968.96</v>
      </c>
      <c r="BD98" s="29">
        <f>(BD96)+(0)</f>
        <v>-2101.7000000000003</v>
      </c>
      <c r="BE98" s="30">
        <f>(BE96)+(0)</f>
        <v>0</v>
      </c>
      <c r="BF98" s="31">
        <f>(BD98)-(BE98)</f>
        <v>-2101.7000000000003</v>
      </c>
      <c r="BG98" s="29">
        <f>(((((((((B98)+(Q98))+(AC98))+(AL98))+(AO98))+(AR98))+(AU98))+(AX98))+(BA98))+(BD98)</f>
        <v>48842.160000000011</v>
      </c>
      <c r="BH98" s="30">
        <f>(((((((((C98)+(R98))+(AD98))+(AM98))+(AP98))+(AS98))+(AV98))+(AY98))+(BB98))+(BE98)</f>
        <v>38426</v>
      </c>
      <c r="BI98" s="31">
        <f>(BG98)-(BH98)</f>
        <v>10416.160000000011</v>
      </c>
      <c r="BJ98" s="29">
        <f>(BJ96)+(0)</f>
        <v>-42708.11</v>
      </c>
      <c r="BK98" s="30">
        <f>(BK96)+(0)</f>
        <v>-31264</v>
      </c>
      <c r="BL98" s="31">
        <f>(BJ98)-(BK98)</f>
        <v>-11444.11</v>
      </c>
      <c r="BM98" s="29">
        <f>(BM96)+(0)</f>
        <v>-450</v>
      </c>
      <c r="BN98" s="30">
        <f>(BN96)+(0)</f>
        <v>0</v>
      </c>
      <c r="BO98" s="31">
        <f>(BM98)-(BN98)</f>
        <v>-450</v>
      </c>
      <c r="BP98" s="29">
        <f>(BP96)+(0)</f>
        <v>3385.9199999999983</v>
      </c>
      <c r="BQ98" s="30">
        <f>(BQ96)+(0)</f>
        <v>8671</v>
      </c>
      <c r="BR98" s="31">
        <f>(BP98)-(BQ98)</f>
        <v>-5285.0800000000017</v>
      </c>
      <c r="BS98" s="29">
        <f>(BS96)+(0)</f>
        <v>523.04</v>
      </c>
      <c r="BT98" s="30">
        <f>(BT96)+(0)</f>
        <v>0</v>
      </c>
      <c r="BU98" s="31">
        <f>(BS98)-(BT98)</f>
        <v>523.04</v>
      </c>
      <c r="BV98" s="29">
        <f>(BV96)+(0)</f>
        <v>423.24</v>
      </c>
      <c r="BW98" s="30">
        <f>(BW96)+(0)</f>
        <v>-7500</v>
      </c>
      <c r="BX98" s="31">
        <f>(BV98)-(BW98)</f>
        <v>7923.24</v>
      </c>
      <c r="BY98" s="29">
        <f>(BY96)+(0)</f>
        <v>-656.59000000000015</v>
      </c>
      <c r="BZ98" s="30">
        <f>(BZ96)+(0)</f>
        <v>-827</v>
      </c>
      <c r="CA98" s="31">
        <f>(BY98)-(BZ98)</f>
        <v>170.40999999999985</v>
      </c>
      <c r="CB98" s="29">
        <f>((((BM98)+(BP98))+(BS98))+(BV98))+(BY98)</f>
        <v>3225.6099999999979</v>
      </c>
      <c r="CC98" s="30">
        <f>((((BN98)+(BQ98))+(BT98))+(BW98))+(BZ98)</f>
        <v>344</v>
      </c>
      <c r="CD98" s="31">
        <f>(CB98)-(CC98)</f>
        <v>2881.6099999999979</v>
      </c>
      <c r="CE98" s="29">
        <f>((BG98)+(BJ98))+(CB98)</f>
        <v>9359.6600000000071</v>
      </c>
      <c r="CF98" s="30">
        <f>((BH98)+(BK98))+(CC98)</f>
        <v>7506</v>
      </c>
      <c r="CG98" s="31">
        <f>(CE98)-(CF98)</f>
        <v>1853.6600000000071</v>
      </c>
    </row>
    <row r="99" spans="1:88" x14ac:dyDescent="0.2">
      <c r="A99" s="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4"/>
      <c r="CI99" s="14"/>
      <c r="CJ99" s="14"/>
    </row>
    <row r="103" spans="1:88" x14ac:dyDescent="0.2">
      <c r="CJ103" s="14"/>
    </row>
    <row r="105" spans="1:88" x14ac:dyDescent="0.2">
      <c r="AA105" s="14"/>
    </row>
  </sheetData>
  <mergeCells count="31">
    <mergeCell ref="N5:P5"/>
    <mergeCell ref="AF5:AH5"/>
    <mergeCell ref="B5:D5"/>
    <mergeCell ref="E5:G5"/>
    <mergeCell ref="H5:J5"/>
    <mergeCell ref="K5:M5"/>
    <mergeCell ref="AI5:AK5"/>
    <mergeCell ref="AL5:AN5"/>
    <mergeCell ref="AO5:AQ5"/>
    <mergeCell ref="AR5:AT5"/>
    <mergeCell ref="Q5:S5"/>
    <mergeCell ref="T5:V5"/>
    <mergeCell ref="W5:Y5"/>
    <mergeCell ref="Z5:AB5"/>
    <mergeCell ref="AC5:AE5"/>
    <mergeCell ref="BY5:CA5"/>
    <mergeCell ref="CB5:CD5"/>
    <mergeCell ref="CE5:CG5"/>
    <mergeCell ref="A1:CG1"/>
    <mergeCell ref="A2:CG2"/>
    <mergeCell ref="A3:CG3"/>
    <mergeCell ref="BJ5:BL5"/>
    <mergeCell ref="BM5:BO5"/>
    <mergeCell ref="BP5:BR5"/>
    <mergeCell ref="BS5:BU5"/>
    <mergeCell ref="BV5:BX5"/>
    <mergeCell ref="AU5:AW5"/>
    <mergeCell ref="AX5:AZ5"/>
    <mergeCell ref="BA5:BC5"/>
    <mergeCell ref="BD5:BF5"/>
    <mergeCell ref="BG5:BI5"/>
  </mergeCells>
  <printOptions horizontalCentered="1" gridLines="1"/>
  <pageMargins left="0.7" right="0.7" top="0.75" bottom="0.75" header="0.3" footer="0.3"/>
  <pageSetup scale="10" fitToHeight="0" orientation="portrait" r:id="rId1"/>
  <headerFooter>
    <oddFooter>&amp;L  Classes&amp;CBudget vs. Actuals Class&amp;RPage &amp;P</oddFooter>
  </headerFooter>
  <ignoredErrors>
    <ignoredError sqref="D98:CG99 D11:CG11 D16:BO16 D20:CG20 D27:CG27 E29:I29 D35:CG35 D43:CG44 D41:CG41 D46:CG46 D66:CG66 D70:CG70 D78:CG78 D82:CG82 D93:CG93 D95:CG96 AR13:AS15 N19:Q19 N18:O18 T18:U18 S19:U19 W26:AG26 D31:CG31 D30:F30 H30:I30 Q29:U29 T30:U30 W34:AA34 H38:L38 H37:I37 K37:L37 H40:I40 K40:L40 H39:I39 K39:L39 Q38 T37:U37 T40:U40 T39:U39 S38:U38 D56:BO56 E51:O51 E47:F49 H47:I49 E54:F54 H54:I54 N47:O49 E50:L50 N50:O50 E52:I53 N52:U52 N54:O54 T47:U49 Q51:U51 Q50 S50:AA50 N53:O53 Q53 T54:U54 S53:X53 E63:L63 E58:F62 H59:L59 E65:L65 E64:F64 H64:I64 H58:I58 K58:L58 H60:I62 K60:L62 K64:L64 N63:O63 N59:O59 N65:O65 N58:O58 N60:O62 N64:O64 T58:U58 Q63 Q59 Q65:U65 T60:U62 T64:U64 S63:U63 S59:U59 T68:U69 E72:F72 T72:U72 E73:L74 Q73:U76 R77:U77 N73:O77 K72 H72:I72 E76:L76 E75:F75 H75:L75 E77:F77 H77:L77 W81:AA81 E90:L91 E84:F89 H89:L89 H84:I88 K84:L88 E92:I92 K92:L92 N90:O91 N89:O89 N84:O88 N92:O92 Q91:U91 Q89 T84:U87 Q92 T88:X88 Q90 S90:U90 S89:U89 S92:U92 AF18:AG18 AF19:AJ19 AI18:AJ18 AM19:AS19 W22:X25 Z22:AA25 AF23:AJ23 AF22:AG22 AI22:AJ22 AI26:AJ26 AF24:AG25 AI24:AJ25 AL23 AO22:AP22 AO26:AP26 AO24:AP25 W33:X33 Z33:AA33 AF33:AG33 AE34:AG34 AC34 AU33:AV33 AU34:AY34 AU37:AV37 AU40:AV40 AU39:AY39 AU38:AV38 Z47:AA49 Z52:AA52 Z51:AA51 W54:AB54 Z53:AA53 AF47:AG49 AC50 AF52:AG52 AF51:AJ51 AC53 AD54:AJ54 AE50:AJ50 AE53:AG53 AI47:AJ49 AI52:AJ52 AI53:AJ53 AL51 AL54 AL50:AS50 AU47:AV49 AO52:AP52 AO53:AP53 W58:X58 W65:AA65 W61:AA61 W64:X64 W63:X63 W59:X59 Z58:AA58 W60:X60 Z60:AA60 Z59:AA59 W62:X62 Z62:AA62 Z64:AA64 Z63:AA63 AD61:AG61 AF58:AG58 AF60:AG60 AF59:AG59 AF62:AG62 AF64:AG64 AF63:AJ63 AC65 AE65:AG65 AI61:AJ61 AI58:AJ58 AI60:AJ60 AI59:AJ59 AI62:AJ62 AI64:AJ64 AI65:AJ65 AO61:AP61 AO58:AP58 AO60:AP60 AO59:BB59 AO62:AP62 AL63 AO64:AP64 AO65:AS65 AR68:AS69 AF72:AJ72 AF73:AJ74 AF77:AJ77 AF76:AS76 AF75:AG75 AI75:AJ75 AL72 AL73:AY73 AO75:AS75 AL77:AS77 W80:X80 Z80:AA80 AC81 AF80:AG80 AE81:AG81 AO80:AP80 AO81:AS81 W84:X87 W91:X91 W90:X90 W89:X89 W92:X92 Z88:AA88 Z84:AA87 Z91:AA91 Z90:AA90 Z89:AA89 Z92:AA92 AF84:AG87 AF91:AG91 AF90:AG90 AF89:AG89 AF92:AG92 AC88:AG88 AX84:AY87 AX91:AY91 AX90:BB90 AX89:AY89 AX92:AY92 AX88:AY88 BD37:BE37 AU13:AV15 BD13:BE15 BG19:BK19 BP18:BQ18 BA18 AX19:BA19 AX18:AY18 AU19:AV19 AU18:AV18 AR18:AS18 AO18:AP18 AN23:AS23 AR22:AS22 AU26:AV26 AU24:AY24 AU23:AV23 AU22:AV22 AX23:AY23 AX22:AY22 AX26:AY26 AU25:AV25 AX25:BA25 BA24 BA23 BA22 BA26 BJ14:BK15 BG25:BK25 BG24:BK24 BG23 BJ22:BK22 BG26:BK26 AR24:AS25 AR26:AS26 AR29:AS29 AR30:AS30 BD29:BK29 BD30:BE30 BG30:BK30 BD33:BE33 BD34:BE34 BY33:BZ33 BG34:BN34 AX37:AY37 AX38:AY38 AX40:AY40 BD39:BE39 BD38:BE38 BD40:BE40 BK37 BG39 BG38 AN51:AP51 AN54:AP54 AR52:AS52 AR53:AS53 AR51:AS51 AR54:AS54 AU50:BB50 AU52:AV52 AU53:BB53 AU51:BB51 AU54:AY54 AX47:AY49 AX52:AY52 BA47:BB49 BA52:BB52 BA54:BB54 BD50:BT50 BD53:BE53 BD51:BN51 BD47:BE49 BD52:BE52 BD54:BE54 BJ49:BN49 BG53 BG52:BK52 BG54:BN54 AN63:AV63 AR64:AS64 AR61:AS61 AR60:AS60 AR62:AS62 AR58:AS58 AU58:AV58 AU65:AV65 AU64:AV64 AU61:AV61 AU60:AV60 AU62:AV62 AX63:BB63 AX65:BB65 AX64:AY64 AX61:AY61 AX60:AY60 AX62:AY62 AX58:AY58 BA58:BB58 BA61:BB61 BA60:BB60 BA64:BB64 BA62:BB62 BD59:BE59 BD63:BN63 BD65:BE65 BD58:BE58 BD61:BE61 BD60:BE60 BD64:BG64 BD62:BE62 BG59:BN59 BJ58:BK58 BH61:BN61 BJ60:BN60 BJ62:BN62 BG65:BN65 BM69:BN69 BA68:BB69 AY68:AY69 AR72:AV72 AN72:AP72 AL74 AN74:AY74 AU76:AY76 AU75:AY75 AU77:AY77 AX72:BB72 BA73:BK73 BA74:BE74 BA76:BN76 BA75:BE75 BA77:BK77 BD72:BE72 BD68:BE69 BG74:BN74 BG75:BN75 BG72:BK72 BN80 BG81:BK81 AX80:AY80 AU81:AY81 AR80:AS80 BD84:BE87 BD89:BE89 BD88:BE88 BA91:BB91 BA92:BB92 BD90:BG90 BD91:BN91 BD92:BE92 BG92 BJ84:BN85 BG89 BG88:BN88 AX33:AY33 BY14:BZ15 BJ13:BK13 BS13:BT13 BP14:BT15 BP13:BQ13 BM14:BN15 BM13:BN13 BP19:BQ19 BY18:BZ18 BY19:BZ19 BY25:BZ25 BY24:BZ24 BY23:BZ23 BY22:BZ22 BY26:BZ26 BI23:BK23 BY29:BZ29 BY30:BZ30 BV34:BZ34 BI39:BK39 BI38:BK38 BJ40:BK40 BM37:BN37 BM39:BN39 BM38:BN38 BM40:BN40 BP37:BQ37 BP39:BT39 BP38:BW38 BP40:BT40 BV37:BW37 BY39:BZ39 BY38:CG38 BY40:BZ40 BY37:BZ37 BJ47:BK48 BM47:BN48 BM52:BN52 BI53:BN53 BS49:BT49 BS47:BT48 BP51:BT51 BP54:BT54 BP52:BQ52 BP53:BT53 BS52:BT52 BV50:BZ50 BV49:BW49 BV48:BZ48 BV51:BZ51 BV54:BW54 BV53:BZ53 BV52:BW52 BV47:BW47 BY47:BZ47 BY49:BZ49 BY52:BZ52 BY54:CG54 BM58:BN58 BM64:BN64 BI64:BK64 BP63:BT63 BP59:BT59 BP61:BT61 BP60:BQ60 BP62:BQ62 BP65:BT65 BP58:BQ58 BP64:BQ64 BS58:BT58 BS60:BT60 BS62:BT62 BS64:BT64 BV63:BW63 BV59:CG59 BV61:BW61 BV65:BW65 BV58:BW58 BV60:BW60 BV62:BW62 BV64:BW64 BY58:BZ58 BY63:CG63 BY61:BZ61 BY65:BZ65 BY60:BZ60 BY62:BZ62 BY64:BZ64 BY69:BZ69 BV68:BW69 BM68:BN68 BS68:BT68 BP69:BT69 BP68:BQ68 BM73:BN73 BM72:BN72 BM77:BN77 BP76:BQ76 BP74:BT74 BP75:BT75 BP73:BQ73 BP72:BQ72 BP77:BQ77 BS73:BT73 BS72:BT72 BS76:BW76 BS77:BT77 BV77:BW77 BV74:CG74 BV75:BW75 BV73:BW73 BV72:BW72 BY73:CG73 BY72:BZ72 BY76:BZ76 BY77:BZ77 BY75:BZ75 BM81:BN81 BP80:BQ80 BP81:BQ81 BS80:BT80 BS81:BT81 BV80:BW80 BV81:BW81 BY80:BZ80 BY81:BZ81 BI90:BN90 BI89:BN89 BI92:BN92 BJ87:BN87 BJ86:BK86 BM86:BN86 BP91:BT91 BP84:BQ85 BP88:BQ88 BP90:BT90 BP89:BQ89 BP92:BQ92 BP87:BQ87 BP86:BT86 BS84:BT85 BS88:BT88 BS89:BT89 BS87:BT87 BS92:BT92 BV91:BW91 BV90:CG90 BV86:BW86 BV84:BW85 BV88:BW88 BV89:BW89 BV87:BW87 BV92:BW92 BY86:BZ86 BY84:BZ85 BY88:BZ88 BY89:BZ89 BY87:BZ87 BY91:BZ91 CE92 BY13:BZ13 CB15 CD14:CE15 CG14:CG15 CE25:CG25 CE24:CG24 CE23 CE26:CG26 CG23 CE29:CG29 CF30:CG30 CG34 CB34:CE34 CB39 CB40:CG40 BV39:BW39 BV40:BW40 BS37:BT37 CD39:CE39 CG39 CB50 CC48:CD48 CB51:CG51 CB53:CG53 CE49:CG49 CE52:CG52 CD50:CG50 CF48:CG48 CE60:CG60 CE62 CB61:CG61 CB65 CE64 CD65:CG65 CG62 CG64 BY68:BZ68 CB69:CG69 CE72:CG72 CD76:CG76 CE77:CG77 CD75:CG75 CB76 CB75 CE81:CG81 CC86:CD86 CE84:CE85 CE88:CG88 CE89:CG89 CE87:CG87 CG84:CG85 CF86:CG86 CB91:CG91 CG92 CE19:CG19 BQ56:CG56 CC16:CG16 BQ16:CA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44"/>
  <sheetViews>
    <sheetView topLeftCell="A23" workbookViewId="0">
      <selection sqref="A1:B1"/>
    </sheetView>
  </sheetViews>
  <sheetFormatPr baseColWidth="10" defaultColWidth="8.83203125" defaultRowHeight="15" x14ac:dyDescent="0.2"/>
  <cols>
    <col min="1" max="1" width="55.6640625" customWidth="1"/>
    <col min="2" max="2" width="30.6640625" customWidth="1"/>
  </cols>
  <sheetData>
    <row r="1" spans="1:2" ht="18" x14ac:dyDescent="0.2">
      <c r="A1" s="44" t="s">
        <v>31</v>
      </c>
      <c r="B1" s="45"/>
    </row>
    <row r="2" spans="1:2" ht="18" x14ac:dyDescent="0.2">
      <c r="A2" s="44" t="s">
        <v>32</v>
      </c>
      <c r="B2" s="45"/>
    </row>
    <row r="3" spans="1:2" x14ac:dyDescent="0.2">
      <c r="A3" s="46" t="s">
        <v>33</v>
      </c>
      <c r="B3" s="45"/>
    </row>
    <row r="5" spans="1:2" x14ac:dyDescent="0.2">
      <c r="A5" s="1"/>
      <c r="B5" s="2" t="s">
        <v>0</v>
      </c>
    </row>
    <row r="6" spans="1:2" x14ac:dyDescent="0.2">
      <c r="A6" s="3" t="s">
        <v>1</v>
      </c>
      <c r="B6" s="4"/>
    </row>
    <row r="7" spans="1:2" x14ac:dyDescent="0.2">
      <c r="A7" s="3" t="s">
        <v>2</v>
      </c>
      <c r="B7" s="4"/>
    </row>
    <row r="8" spans="1:2" x14ac:dyDescent="0.2">
      <c r="A8" s="3" t="s">
        <v>3</v>
      </c>
      <c r="B8" s="4"/>
    </row>
    <row r="9" spans="1:2" x14ac:dyDescent="0.2">
      <c r="A9" s="3" t="s">
        <v>4</v>
      </c>
      <c r="B9" s="4"/>
    </row>
    <row r="10" spans="1:2" x14ac:dyDescent="0.2">
      <c r="A10" s="3" t="s">
        <v>5</v>
      </c>
      <c r="B10" s="5">
        <f>25444.11</f>
        <v>25444.11</v>
      </c>
    </row>
    <row r="11" spans="1:2" x14ac:dyDescent="0.2">
      <c r="A11" s="3" t="s">
        <v>6</v>
      </c>
      <c r="B11" s="5">
        <f>81.63</f>
        <v>81.63</v>
      </c>
    </row>
    <row r="12" spans="1:2" hidden="1" x14ac:dyDescent="0.2">
      <c r="A12" s="3" t="s">
        <v>7</v>
      </c>
      <c r="B12" s="6">
        <f>((B9)+(B10))+(B11)</f>
        <v>25525.74</v>
      </c>
    </row>
    <row r="13" spans="1:2" x14ac:dyDescent="0.2">
      <c r="A13" s="3" t="s">
        <v>8</v>
      </c>
      <c r="B13" s="6">
        <f>B12</f>
        <v>25525.74</v>
      </c>
    </row>
    <row r="14" spans="1:2" x14ac:dyDescent="0.2">
      <c r="A14" s="3"/>
      <c r="B14" s="9"/>
    </row>
    <row r="15" spans="1:2" x14ac:dyDescent="0.2">
      <c r="A15" s="3" t="s">
        <v>9</v>
      </c>
      <c r="B15" s="7"/>
    </row>
    <row r="16" spans="1:2" x14ac:dyDescent="0.2">
      <c r="A16" s="3" t="s">
        <v>10</v>
      </c>
      <c r="B16" s="5">
        <f>1025</f>
        <v>1025</v>
      </c>
    </row>
    <row r="17" spans="1:2" x14ac:dyDescent="0.2">
      <c r="A17" s="3" t="s">
        <v>11</v>
      </c>
      <c r="B17" s="6">
        <f>B16</f>
        <v>1025</v>
      </c>
    </row>
    <row r="18" spans="1:2" hidden="1" x14ac:dyDescent="0.2">
      <c r="A18" s="3" t="s">
        <v>12</v>
      </c>
      <c r="B18" s="9">
        <f>(B13)+(B17)</f>
        <v>26550.74</v>
      </c>
    </row>
    <row r="19" spans="1:2" x14ac:dyDescent="0.2">
      <c r="A19" s="3"/>
      <c r="B19" s="11"/>
    </row>
    <row r="20" spans="1:2" ht="16" thickBot="1" x14ac:dyDescent="0.25">
      <c r="A20" s="3" t="s">
        <v>13</v>
      </c>
      <c r="B20" s="10">
        <f>B18</f>
        <v>26550.74</v>
      </c>
    </row>
    <row r="21" spans="1:2" ht="16" thickTop="1" x14ac:dyDescent="0.2">
      <c r="A21" s="3"/>
      <c r="B21" s="12"/>
    </row>
    <row r="22" spans="1:2" x14ac:dyDescent="0.2">
      <c r="A22" s="3" t="s">
        <v>14</v>
      </c>
      <c r="B22" s="7"/>
    </row>
    <row r="23" spans="1:2" x14ac:dyDescent="0.2">
      <c r="A23" s="3" t="s">
        <v>15</v>
      </c>
      <c r="B23" s="7"/>
    </row>
    <row r="24" spans="1:2" x14ac:dyDescent="0.2">
      <c r="A24" s="3" t="s">
        <v>16</v>
      </c>
      <c r="B24" s="7"/>
    </row>
    <row r="25" spans="1:2" x14ac:dyDescent="0.2">
      <c r="A25" s="3" t="s">
        <v>17</v>
      </c>
      <c r="B25" s="7"/>
    </row>
    <row r="26" spans="1:2" x14ac:dyDescent="0.2">
      <c r="A26" s="3" t="s">
        <v>18</v>
      </c>
      <c r="B26" s="5">
        <f>10526.58</f>
        <v>10526.58</v>
      </c>
    </row>
    <row r="27" spans="1:2" x14ac:dyDescent="0.2">
      <c r="A27" s="3" t="s">
        <v>19</v>
      </c>
      <c r="B27" s="6">
        <f>B26</f>
        <v>10526.58</v>
      </c>
    </row>
    <row r="28" spans="1:2" x14ac:dyDescent="0.2">
      <c r="A28" s="3"/>
      <c r="B28" s="9"/>
    </row>
    <row r="29" spans="1:2" x14ac:dyDescent="0.2">
      <c r="A29" s="3" t="s">
        <v>20</v>
      </c>
      <c r="B29" s="7"/>
    </row>
    <row r="30" spans="1:2" x14ac:dyDescent="0.2">
      <c r="A30" s="3" t="s">
        <v>21</v>
      </c>
      <c r="B30" s="5">
        <f>-5423.18</f>
        <v>-5423.18</v>
      </c>
    </row>
    <row r="31" spans="1:2" x14ac:dyDescent="0.2">
      <c r="A31" s="3" t="s">
        <v>22</v>
      </c>
      <c r="B31" s="6">
        <f>B30</f>
        <v>-5423.18</v>
      </c>
    </row>
    <row r="32" spans="1:2" hidden="1" x14ac:dyDescent="0.2">
      <c r="A32" s="3" t="s">
        <v>23</v>
      </c>
      <c r="B32" s="6">
        <f>(B27)+(B31)</f>
        <v>5103.3999999999996</v>
      </c>
    </row>
    <row r="33" spans="1:2" x14ac:dyDescent="0.2">
      <c r="A33" s="3"/>
      <c r="B33" s="11"/>
    </row>
    <row r="34" spans="1:2" x14ac:dyDescent="0.2">
      <c r="A34" s="3" t="s">
        <v>24</v>
      </c>
      <c r="B34" s="6">
        <f>B32</f>
        <v>5103.3999999999996</v>
      </c>
    </row>
    <row r="35" spans="1:2" x14ac:dyDescent="0.2">
      <c r="A35" s="3"/>
      <c r="B35" s="9"/>
    </row>
    <row r="36" spans="1:2" x14ac:dyDescent="0.2">
      <c r="A36" s="3" t="s">
        <v>25</v>
      </c>
      <c r="B36" s="7"/>
    </row>
    <row r="37" spans="1:2" x14ac:dyDescent="0.2">
      <c r="A37" s="3" t="s">
        <v>26</v>
      </c>
      <c r="B37" s="5">
        <f>12087.68</f>
        <v>12087.68</v>
      </c>
    </row>
    <row r="38" spans="1:2" hidden="1" x14ac:dyDescent="0.2">
      <c r="A38" s="3" t="s">
        <v>27</v>
      </c>
      <c r="B38" s="5">
        <f>0</f>
        <v>0</v>
      </c>
    </row>
    <row r="39" spans="1:2" x14ac:dyDescent="0.2">
      <c r="A39" s="3" t="s">
        <v>28</v>
      </c>
      <c r="B39" s="5">
        <f>9359.66</f>
        <v>9359.66</v>
      </c>
    </row>
    <row r="40" spans="1:2" x14ac:dyDescent="0.2">
      <c r="A40" s="3" t="s">
        <v>29</v>
      </c>
      <c r="B40" s="6">
        <f>((B37)+(B38))+(B39)</f>
        <v>21447.34</v>
      </c>
    </row>
    <row r="41" spans="1:2" x14ac:dyDescent="0.2">
      <c r="A41" s="3"/>
      <c r="B41" s="11"/>
    </row>
    <row r="42" spans="1:2" ht="16" thickBot="1" x14ac:dyDescent="0.25">
      <c r="A42" s="3" t="s">
        <v>30</v>
      </c>
      <c r="B42" s="10">
        <f>(B34)+(B40)</f>
        <v>26550.739999999998</v>
      </c>
    </row>
    <row r="43" spans="1:2" ht="16" thickTop="1" x14ac:dyDescent="0.2">
      <c r="A43" s="3"/>
      <c r="B43" s="7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  <row r="71" spans="2:2" x14ac:dyDescent="0.2">
      <c r="B71" s="8"/>
    </row>
    <row r="72" spans="2:2" x14ac:dyDescent="0.2">
      <c r="B72" s="8"/>
    </row>
    <row r="73" spans="2:2" x14ac:dyDescent="0.2">
      <c r="B73" s="8"/>
    </row>
    <row r="74" spans="2:2" x14ac:dyDescent="0.2">
      <c r="B74" s="8"/>
    </row>
    <row r="75" spans="2:2" x14ac:dyDescent="0.2">
      <c r="B75" s="8"/>
    </row>
    <row r="76" spans="2:2" x14ac:dyDescent="0.2">
      <c r="B76" s="8"/>
    </row>
    <row r="77" spans="2:2" x14ac:dyDescent="0.2">
      <c r="B77" s="8"/>
    </row>
    <row r="78" spans="2:2" x14ac:dyDescent="0.2">
      <c r="B78" s="8"/>
    </row>
    <row r="79" spans="2:2" x14ac:dyDescent="0.2">
      <c r="B79" s="8"/>
    </row>
    <row r="80" spans="2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</sheetData>
  <mergeCells count="3">
    <mergeCell ref="A1:B1"/>
    <mergeCell ref="A2:B2"/>
    <mergeCell ref="A3:B3"/>
  </mergeCells>
  <printOptions horizontalCentered="1" gridLines="1"/>
  <pageMargins left="0.7" right="0.7" top="0.75" bottom="0.75" header="0.3" footer="0.3"/>
  <pageSetup fitToHeight="0" orientation="portrait" r:id="rId1"/>
  <headerFooter>
    <oddFooter>&amp;CStatement of Financial Position&amp;RPage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Stmt Fin Act by Class</vt:lpstr>
      <vt:lpstr>Budget vs. Actuals Total</vt:lpstr>
      <vt:lpstr>Budget vs. Actuals Class</vt:lpstr>
      <vt:lpstr>Stmt of Fin Position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2016-10-27T04:28:28Z</cp:lastPrinted>
  <dcterms:created xsi:type="dcterms:W3CDTF">2016-10-27T02:24:11Z</dcterms:created>
  <dcterms:modified xsi:type="dcterms:W3CDTF">2016-12-03T05:01:02Z</dcterms:modified>
</cp:coreProperties>
</file>